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Controlling\Raporty\10.GPW raportowanie\2025\Q4.2025\Roczny\strona www\"/>
    </mc:Choice>
  </mc:AlternateContent>
  <xr:revisionPtr revIDLastSave="0" documentId="13_ncr:1_{74AC098B-27EB-4C97-9498-3ED9973D7139}" xr6:coauthVersionLast="47" xr6:coauthVersionMax="47" xr10:uidLastSave="{00000000-0000-0000-0000-000000000000}"/>
  <bookViews>
    <workbookView xWindow="-110" yWindow="-110" windowWidth="19420" windowHeight="10300" tabRatio="733" xr2:uid="{00000000-000D-0000-FFFF-FFFF00000000}"/>
  </bookViews>
  <sheets>
    <sheet name="INCOME STATEMENT-for the year" sheetId="2" r:id="rId1"/>
    <sheet name="STATEMENT OF FIN. POSITION-year" sheetId="3" r:id="rId2"/>
    <sheet name="INCOME STATEMENT-Q" sheetId="1" r:id="rId3"/>
    <sheet name="STATEMENT OF FIN. POSITION-Q" sheetId="4" r:id="rId4"/>
  </sheets>
  <externalReferences>
    <externalReference r:id="rId5"/>
  </externalReferences>
  <definedNames>
    <definedName name="_xlnm.Print_Area" localSheetId="0">'INCOME STATEMENT-for the year'!$B$5:$O$43</definedName>
    <definedName name="_xlnm.Print_Area" localSheetId="2">'INCOME STATEMENT-Q'!$B$5:$AP$39</definedName>
    <definedName name="_xlnm.Print_Area" localSheetId="3">'STATEMENT OF FIN. POSITION-Q'!$B$5:$T$44</definedName>
    <definedName name="_xlnm.Print_Area" localSheetId="1">'STATEMENT OF FIN. POSITION-year'!$B$5:$O$46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4" l="1"/>
  <c r="D41" i="4" s="1"/>
  <c r="D31" i="4"/>
  <c r="D19" i="4"/>
  <c r="D54" i="1"/>
  <c r="D31" i="1"/>
  <c r="D16" i="1"/>
  <c r="D6" i="1"/>
  <c r="D21" i="1" s="1"/>
  <c r="D32" i="1" s="1"/>
  <c r="D37" i="1" s="1"/>
  <c r="D39" i="1" s="1"/>
  <c r="E39" i="4"/>
  <c r="E41" i="4" s="1"/>
  <c r="E31" i="4"/>
  <c r="E19" i="4"/>
  <c r="E54" i="1"/>
  <c r="E31" i="1"/>
  <c r="E16" i="1"/>
  <c r="E6" i="1"/>
  <c r="AP54" i="1"/>
  <c r="AN54" i="1"/>
  <c r="AL54" i="1"/>
  <c r="AJ54" i="1"/>
  <c r="AH54" i="1"/>
  <c r="AF54" i="1"/>
  <c r="AD54" i="1"/>
  <c r="AB54" i="1"/>
  <c r="Z54" i="1"/>
  <c r="X54" i="1"/>
  <c r="V54" i="1"/>
  <c r="T54" i="1"/>
  <c r="R54" i="1"/>
  <c r="Q54" i="1"/>
  <c r="P54" i="1"/>
  <c r="O54" i="1"/>
  <c r="N54" i="1"/>
  <c r="M54" i="1"/>
  <c r="L54" i="1"/>
  <c r="K54" i="1"/>
  <c r="J54" i="1"/>
  <c r="H54" i="1"/>
  <c r="F54" i="1"/>
  <c r="S52" i="1"/>
  <c r="I52" i="1"/>
  <c r="G52" i="1" s="1"/>
  <c r="AO51" i="1"/>
  <c r="AM51" i="1" s="1"/>
  <c r="AK51" i="1"/>
  <c r="AI51" i="1" s="1"/>
  <c r="AG51" i="1"/>
  <c r="AE51" i="1" s="1"/>
  <c r="AC51" i="1"/>
  <c r="AA51" i="1" s="1"/>
  <c r="Y51" i="1"/>
  <c r="W51" i="1" s="1"/>
  <c r="U51" i="1"/>
  <c r="S51" i="1" s="1"/>
  <c r="I51" i="1"/>
  <c r="G51" i="1" s="1"/>
  <c r="AO50" i="1"/>
  <c r="AM50" i="1" s="1"/>
  <c r="AK50" i="1"/>
  <c r="AI50" i="1" s="1"/>
  <c r="AG50" i="1"/>
  <c r="AE50" i="1" s="1"/>
  <c r="AC50" i="1"/>
  <c r="AA50" i="1" s="1"/>
  <c r="Y50" i="1"/>
  <c r="W50" i="1" s="1"/>
  <c r="U50" i="1"/>
  <c r="I50" i="1"/>
  <c r="G50" i="1" s="1"/>
  <c r="AO49" i="1"/>
  <c r="AM49" i="1" s="1"/>
  <c r="AK49" i="1"/>
  <c r="AI49" i="1" s="1"/>
  <c r="AG49" i="1"/>
  <c r="AE49" i="1" s="1"/>
  <c r="AC49" i="1"/>
  <c r="AA49" i="1" s="1"/>
  <c r="Y49" i="1"/>
  <c r="W49" i="1" s="1"/>
  <c r="U49" i="1"/>
  <c r="S49" i="1" s="1"/>
  <c r="I49" i="1"/>
  <c r="G49" i="1" s="1"/>
  <c r="AO48" i="1"/>
  <c r="AM48" i="1" s="1"/>
  <c r="AK48" i="1"/>
  <c r="AI48" i="1" s="1"/>
  <c r="AG48" i="1"/>
  <c r="AE48" i="1" s="1"/>
  <c r="AC48" i="1"/>
  <c r="AA48" i="1" s="1"/>
  <c r="Y48" i="1"/>
  <c r="W48" i="1" s="1"/>
  <c r="U48" i="1"/>
  <c r="S48" i="1" s="1"/>
  <c r="I48" i="1"/>
  <c r="G48" i="1" s="1"/>
  <c r="G18" i="1"/>
  <c r="M17" i="1"/>
  <c r="L17" i="1" s="1"/>
  <c r="G17"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J16" i="1"/>
  <c r="I16" i="1"/>
  <c r="H16" i="1"/>
  <c r="F16" i="1"/>
  <c r="AM15" i="1"/>
  <c r="AK15" i="1"/>
  <c r="AI15" i="1" s="1"/>
  <c r="AG15" i="1"/>
  <c r="AE15" i="1" s="1"/>
  <c r="AC15" i="1"/>
  <c r="AA15" i="1" s="1"/>
  <c r="Y15" i="1"/>
  <c r="W15" i="1" s="1"/>
  <c r="U15" i="1"/>
  <c r="S15" i="1" s="1"/>
  <c r="Q15" i="1"/>
  <c r="O15" i="1" s="1"/>
  <c r="M15" i="1"/>
  <c r="K15" i="1" s="1"/>
  <c r="I15" i="1"/>
  <c r="G15" i="1" s="1"/>
  <c r="AM14" i="1"/>
  <c r="AK14" i="1"/>
  <c r="AI14" i="1" s="1"/>
  <c r="AG14" i="1"/>
  <c r="AE14" i="1" s="1"/>
  <c r="AC14" i="1"/>
  <c r="AA14" i="1" s="1"/>
  <c r="Y14" i="1"/>
  <c r="W14" i="1" s="1"/>
  <c r="U14" i="1"/>
  <c r="S14" i="1" s="1"/>
  <c r="Q14" i="1"/>
  <c r="O14" i="1" s="1"/>
  <c r="M14" i="1"/>
  <c r="K14" i="1" s="1"/>
  <c r="I14" i="1"/>
  <c r="G14" i="1" s="1"/>
  <c r="AI13" i="1"/>
  <c r="AG13" i="1"/>
  <c r="AE13" i="1" s="1"/>
  <c r="AC13" i="1"/>
  <c r="AA13" i="1" s="1"/>
  <c r="Y13" i="1"/>
  <c r="W13" i="1" s="1"/>
  <c r="U13" i="1"/>
  <c r="S13" i="1" s="1"/>
  <c r="Q13" i="1"/>
  <c r="O13" i="1" s="1"/>
  <c r="M13" i="1"/>
  <c r="K13" i="1" s="1"/>
  <c r="I13" i="1"/>
  <c r="G13" i="1" s="1"/>
  <c r="AM12" i="1"/>
  <c r="AK12" i="1"/>
  <c r="AI12" i="1" s="1"/>
  <c r="AG12" i="1"/>
  <c r="AM11" i="1"/>
  <c r="AK11" i="1"/>
  <c r="AI11" i="1" s="1"/>
  <c r="AG11" i="1"/>
  <c r="AE11" i="1" s="1"/>
  <c r="AC11" i="1"/>
  <c r="AA11" i="1" s="1"/>
  <c r="Y11" i="1"/>
  <c r="W11" i="1" s="1"/>
  <c r="U11" i="1"/>
  <c r="S11" i="1" s="1"/>
  <c r="Q11" i="1"/>
  <c r="O11" i="1" s="1"/>
  <c r="M11" i="1"/>
  <c r="K11" i="1" s="1"/>
  <c r="I11" i="1"/>
  <c r="G11" i="1" s="1"/>
  <c r="AM10" i="1"/>
  <c r="AK10" i="1"/>
  <c r="AI10" i="1" s="1"/>
  <c r="AG10" i="1"/>
  <c r="AE10" i="1" s="1"/>
  <c r="AC10" i="1"/>
  <c r="AA10" i="1" s="1"/>
  <c r="Y10" i="1"/>
  <c r="W10" i="1" s="1"/>
  <c r="U10" i="1"/>
  <c r="S10" i="1" s="1"/>
  <c r="Q10" i="1"/>
  <c r="O10" i="1" s="1"/>
  <c r="M10" i="1"/>
  <c r="K10" i="1" s="1"/>
  <c r="I10" i="1"/>
  <c r="G10" i="1" s="1"/>
  <c r="AM9" i="1"/>
  <c r="AK9" i="1"/>
  <c r="AI9" i="1" s="1"/>
  <c r="AG9" i="1"/>
  <c r="AE9" i="1" s="1"/>
  <c r="AC9" i="1"/>
  <c r="AA9" i="1" s="1"/>
  <c r="Y9" i="1"/>
  <c r="W9" i="1" s="1"/>
  <c r="U9" i="1"/>
  <c r="S9" i="1" s="1"/>
  <c r="Q9" i="1"/>
  <c r="O9" i="1" s="1"/>
  <c r="M9" i="1"/>
  <c r="K9" i="1" s="1"/>
  <c r="I9" i="1"/>
  <c r="G9" i="1" s="1"/>
  <c r="AM8" i="1"/>
  <c r="AK8" i="1"/>
  <c r="AI8" i="1" s="1"/>
  <c r="AG8" i="1"/>
  <c r="AE8" i="1" s="1"/>
  <c r="AC8" i="1"/>
  <c r="AA8" i="1" s="1"/>
  <c r="Y8" i="1"/>
  <c r="W8" i="1" s="1"/>
  <c r="U8" i="1"/>
  <c r="S8" i="1" s="1"/>
  <c r="Q8" i="1"/>
  <c r="O8" i="1" s="1"/>
  <c r="M8" i="1"/>
  <c r="K8" i="1" s="1"/>
  <c r="I8" i="1"/>
  <c r="G8" i="1" s="1"/>
  <c r="AM7" i="1"/>
  <c r="AK7" i="1"/>
  <c r="AI7" i="1" s="1"/>
  <c r="AG7" i="1"/>
  <c r="AE7" i="1" s="1"/>
  <c r="AC7" i="1"/>
  <c r="AA7" i="1" s="1"/>
  <c r="Y7" i="1"/>
  <c r="W7" i="1" s="1"/>
  <c r="U7" i="1"/>
  <c r="Q7" i="1"/>
  <c r="O7" i="1" s="1"/>
  <c r="M7" i="1"/>
  <c r="K7" i="1" s="1"/>
  <c r="I7" i="1"/>
  <c r="G7" i="1" s="1"/>
  <c r="AP6" i="1"/>
  <c r="AO6" i="1"/>
  <c r="AN6" i="1"/>
  <c r="AL6" i="1"/>
  <c r="AJ6" i="1"/>
  <c r="AH6" i="1"/>
  <c r="AF6" i="1"/>
  <c r="AD6" i="1"/>
  <c r="AB6" i="1"/>
  <c r="Z6" i="1"/>
  <c r="X6" i="1"/>
  <c r="V6" i="1"/>
  <c r="T6" i="1"/>
  <c r="R6" i="1"/>
  <c r="P6" i="1"/>
  <c r="N6" i="1"/>
  <c r="L6" i="1"/>
  <c r="J6" i="1"/>
  <c r="H6" i="1"/>
  <c r="F6" i="1"/>
  <c r="D43" i="4" l="1"/>
  <c r="E43" i="4"/>
  <c r="F21" i="1"/>
  <c r="AN21" i="1"/>
  <c r="X21" i="1"/>
  <c r="E21" i="1"/>
  <c r="E32" i="1" s="1"/>
  <c r="E37" i="1" s="1"/>
  <c r="E39" i="1" s="1"/>
  <c r="AO21" i="1"/>
  <c r="H21" i="1"/>
  <c r="Z21" i="1"/>
  <c r="AD21" i="1"/>
  <c r="P21" i="1"/>
  <c r="AF21" i="1"/>
  <c r="AI54" i="1"/>
  <c r="AM54" i="1"/>
  <c r="G54" i="1"/>
  <c r="V21" i="1"/>
  <c r="AL21" i="1"/>
  <c r="U6" i="1"/>
  <c r="U21" i="1" s="1"/>
  <c r="AM6" i="1"/>
  <c r="AM21" i="1" s="1"/>
  <c r="AG6" i="1"/>
  <c r="AG21" i="1" s="1"/>
  <c r="J21" i="1"/>
  <c r="Y6" i="1"/>
  <c r="Y21" i="1" s="1"/>
  <c r="G16" i="1"/>
  <c r="L16" i="1"/>
  <c r="L21" i="1" s="1"/>
  <c r="K17" i="1"/>
  <c r="K16" i="1" s="1"/>
  <c r="I6" i="1"/>
  <c r="I21" i="1" s="1"/>
  <c r="U54" i="1"/>
  <c r="N21" i="1"/>
  <c r="AB21" i="1"/>
  <c r="AP21" i="1"/>
  <c r="M16" i="1"/>
  <c r="W54" i="1"/>
  <c r="Q6" i="1"/>
  <c r="Q21" i="1" s="1"/>
  <c r="AC54" i="1"/>
  <c r="AA54" i="1"/>
  <c r="R21" i="1"/>
  <c r="AH21" i="1"/>
  <c r="S50" i="1"/>
  <c r="S54" i="1" s="1"/>
  <c r="AK54" i="1"/>
  <c r="AE54" i="1"/>
  <c r="AO54" i="1"/>
  <c r="Y54" i="1"/>
  <c r="I54" i="1"/>
  <c r="AG54" i="1"/>
  <c r="W6" i="1"/>
  <c r="W21" i="1" s="1"/>
  <c r="T21" i="1"/>
  <c r="AJ21" i="1"/>
  <c r="AI6" i="1"/>
  <c r="AI21" i="1" s="1"/>
  <c r="S7" i="1"/>
  <c r="S6" i="1" s="1"/>
  <c r="S21" i="1" s="1"/>
  <c r="AK6" i="1"/>
  <c r="AK21" i="1" s="1"/>
  <c r="G6" i="1"/>
  <c r="AA6" i="1"/>
  <c r="AA21" i="1" s="1"/>
  <c r="K6" i="1"/>
  <c r="AE6" i="1"/>
  <c r="AE21" i="1" s="1"/>
  <c r="O6" i="1"/>
  <c r="O21" i="1" s="1"/>
  <c r="M6" i="1"/>
  <c r="AC6" i="1"/>
  <c r="AC21" i="1" s="1"/>
  <c r="O54" i="2"/>
  <c r="N54" i="2"/>
  <c r="M54" i="2"/>
  <c r="L54" i="2"/>
  <c r="K54" i="2"/>
  <c r="J54" i="2"/>
  <c r="I54" i="2"/>
  <c r="H54" i="2"/>
  <c r="G54" i="2"/>
  <c r="F54" i="2"/>
  <c r="E54" i="2"/>
  <c r="O6" i="2"/>
  <c r="N6" i="2"/>
  <c r="M6" i="2"/>
  <c r="L6" i="2"/>
  <c r="J6" i="2"/>
  <c r="J21" i="2" s="1"/>
  <c r="I6" i="2"/>
  <c r="H6" i="2"/>
  <c r="G6" i="2"/>
  <c r="F6" i="2"/>
  <c r="E6" i="2"/>
  <c r="D6" i="2"/>
  <c r="O16" i="2"/>
  <c r="N16" i="2"/>
  <c r="M16" i="2"/>
  <c r="L16" i="2"/>
  <c r="K16" i="2"/>
  <c r="J16" i="2"/>
  <c r="I16" i="2"/>
  <c r="H16" i="2"/>
  <c r="G16" i="2"/>
  <c r="G21" i="2" s="1"/>
  <c r="F16" i="2"/>
  <c r="E16" i="2"/>
  <c r="D16" i="2"/>
  <c r="F39" i="4"/>
  <c r="F41" i="4" s="1"/>
  <c r="F31" i="4"/>
  <c r="F19" i="4"/>
  <c r="F31" i="1"/>
  <c r="G39" i="4"/>
  <c r="G41" i="4" s="1"/>
  <c r="G31" i="4"/>
  <c r="G19" i="4"/>
  <c r="G31" i="1"/>
  <c r="D40" i="3"/>
  <c r="D42" i="3" s="1"/>
  <c r="D44" i="3" s="1"/>
  <c r="D32" i="3"/>
  <c r="D20" i="3"/>
  <c r="D31" i="2"/>
  <c r="H39" i="4"/>
  <c r="H41" i="4" s="1"/>
  <c r="H31" i="4"/>
  <c r="H19" i="4"/>
  <c r="H31" i="1"/>
  <c r="AP39" i="4"/>
  <c r="AP41" i="4" s="1"/>
  <c r="AO39" i="4"/>
  <c r="AO41" i="4" s="1"/>
  <c r="AN39" i="4"/>
  <c r="AN41" i="4" s="1"/>
  <c r="AM39" i="4"/>
  <c r="AM41" i="4" s="1"/>
  <c r="AL39" i="4"/>
  <c r="AL41" i="4" s="1"/>
  <c r="AK39" i="4"/>
  <c r="AK41" i="4" s="1"/>
  <c r="AJ39" i="4"/>
  <c r="AJ41" i="4" s="1"/>
  <c r="AI39" i="4"/>
  <c r="AI41" i="4" s="1"/>
  <c r="AH39" i="4"/>
  <c r="AH41" i="4" s="1"/>
  <c r="AG39" i="4"/>
  <c r="AG41" i="4" s="1"/>
  <c r="AF39" i="4"/>
  <c r="AF41" i="4" s="1"/>
  <c r="AE39" i="4"/>
  <c r="AE41" i="4" s="1"/>
  <c r="AD39" i="4"/>
  <c r="AD41" i="4" s="1"/>
  <c r="AC39" i="4"/>
  <c r="AC41" i="4" s="1"/>
  <c r="AB39" i="4"/>
  <c r="AB41" i="4" s="1"/>
  <c r="AA39" i="4"/>
  <c r="AA41" i="4" s="1"/>
  <c r="Z39" i="4"/>
  <c r="Z41" i="4" s="1"/>
  <c r="Y39" i="4"/>
  <c r="Y41" i="4" s="1"/>
  <c r="X39" i="4"/>
  <c r="X41" i="4" s="1"/>
  <c r="W39" i="4"/>
  <c r="W41" i="4" s="1"/>
  <c r="V39" i="4"/>
  <c r="V41" i="4" s="1"/>
  <c r="U39" i="4"/>
  <c r="U41" i="4" s="1"/>
  <c r="T39" i="4"/>
  <c r="T41" i="4" s="1"/>
  <c r="S39" i="4"/>
  <c r="S41" i="4" s="1"/>
  <c r="R39" i="4"/>
  <c r="R41" i="4" s="1"/>
  <c r="Q39" i="4"/>
  <c r="Q41" i="4" s="1"/>
  <c r="P39" i="4"/>
  <c r="P41" i="4" s="1"/>
  <c r="O39" i="4"/>
  <c r="O41" i="4" s="1"/>
  <c r="N39" i="4"/>
  <c r="N41" i="4" s="1"/>
  <c r="M39" i="4"/>
  <c r="M41" i="4" s="1"/>
  <c r="L39" i="4"/>
  <c r="L41" i="4" s="1"/>
  <c r="K39" i="4"/>
  <c r="K41" i="4" s="1"/>
  <c r="J39" i="4"/>
  <c r="J41" i="4" s="1"/>
  <c r="I39" i="4"/>
  <c r="I41" i="4" s="1"/>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I19" i="4"/>
  <c r="I31" i="1"/>
  <c r="F43" i="4" l="1"/>
  <c r="AJ43" i="4"/>
  <c r="F21" i="2"/>
  <c r="N43" i="4"/>
  <c r="V43" i="4"/>
  <c r="AD43" i="4"/>
  <c r="G43" i="4"/>
  <c r="M21" i="1"/>
  <c r="G21" i="1"/>
  <c r="G32" i="1" s="1"/>
  <c r="G37" i="1" s="1"/>
  <c r="G39" i="1" s="1"/>
  <c r="K21" i="1"/>
  <c r="D21" i="2"/>
  <c r="D32" i="2"/>
  <c r="D37" i="2" s="1"/>
  <c r="D39" i="2" s="1"/>
  <c r="E21" i="2"/>
  <c r="I21" i="2"/>
  <c r="N21" i="2"/>
  <c r="L21" i="2"/>
  <c r="H21" i="2"/>
  <c r="O21" i="2"/>
  <c r="M21" i="2"/>
  <c r="F32" i="1"/>
  <c r="F37" i="1" s="1"/>
  <c r="F39" i="1" s="1"/>
  <c r="H43" i="4"/>
  <c r="H32" i="1"/>
  <c r="H37" i="1" s="1"/>
  <c r="H39" i="1" s="1"/>
  <c r="I32" i="1"/>
  <c r="I37" i="1" s="1"/>
  <c r="I39" i="1" s="1"/>
  <c r="K43" i="4"/>
  <c r="P43" i="4"/>
  <c r="S43" i="4"/>
  <c r="AA43" i="4"/>
  <c r="L43" i="4"/>
  <c r="T43" i="4"/>
  <c r="AB43" i="4"/>
  <c r="X43" i="4"/>
  <c r="M43" i="4"/>
  <c r="U43" i="4"/>
  <c r="O43" i="4"/>
  <c r="W43" i="4"/>
  <c r="AE43" i="4"/>
  <c r="AM43" i="4"/>
  <c r="AC43" i="4"/>
  <c r="AK43" i="4"/>
  <c r="AL43" i="4"/>
  <c r="J43" i="4"/>
  <c r="R43" i="4"/>
  <c r="Z43" i="4"/>
  <c r="AH43" i="4"/>
  <c r="AP43" i="4"/>
  <c r="AF43" i="4"/>
  <c r="AI43" i="4"/>
  <c r="I43" i="4"/>
  <c r="Q43" i="4"/>
  <c r="Y43" i="4"/>
  <c r="AG43" i="4"/>
  <c r="AO43" i="4"/>
  <c r="AN43" i="4"/>
  <c r="J31" i="1"/>
  <c r="J32" i="1" l="1"/>
  <c r="J37" i="1" s="1"/>
  <c r="J39" i="1" s="1"/>
  <c r="K31" i="1" l="1"/>
  <c r="E31" i="2"/>
  <c r="L31" i="1"/>
  <c r="M31" i="1"/>
  <c r="E40" i="3"/>
  <c r="E42" i="3" s="1"/>
  <c r="E32" i="3"/>
  <c r="E20" i="3"/>
  <c r="N31" i="1"/>
  <c r="O31" i="1"/>
  <c r="H31" i="2"/>
  <c r="H32" i="2" s="1"/>
  <c r="H37" i="2" s="1"/>
  <c r="H39" i="2" s="1"/>
  <c r="I31" i="2"/>
  <c r="J31" i="2"/>
  <c r="K31" i="2"/>
  <c r="L31" i="2"/>
  <c r="M31" i="2"/>
  <c r="N31" i="2"/>
  <c r="O31" i="2"/>
  <c r="G31" i="2"/>
  <c r="F31" i="2"/>
  <c r="F32" i="2" s="1"/>
  <c r="F37" i="2" s="1"/>
  <c r="F39" i="2" s="1"/>
  <c r="P31" i="1"/>
  <c r="S25" i="1"/>
  <c r="S31" i="1" s="1"/>
  <c r="Q31" i="1"/>
  <c r="AP31" i="1"/>
  <c r="AO31" i="1"/>
  <c r="AN31" i="1"/>
  <c r="AM31" i="1"/>
  <c r="AL31" i="1"/>
  <c r="AK31" i="1"/>
  <c r="AJ31" i="1"/>
  <c r="AI31" i="1"/>
  <c r="AH31" i="1"/>
  <c r="AG31" i="1"/>
  <c r="AF31" i="1"/>
  <c r="AE31" i="1"/>
  <c r="AD31" i="1"/>
  <c r="AC31" i="1"/>
  <c r="AB31" i="1"/>
  <c r="AA31" i="1"/>
  <c r="Z31" i="1"/>
  <c r="Y31" i="1"/>
  <c r="X31" i="1"/>
  <c r="W31" i="1"/>
  <c r="V31" i="1"/>
  <c r="U31" i="1"/>
  <c r="T31" i="1"/>
  <c r="R31" i="1"/>
  <c r="F40" i="3"/>
  <c r="F42" i="3" s="1"/>
  <c r="F32" i="3"/>
  <c r="F20" i="3"/>
  <c r="G40" i="3"/>
  <c r="G42" i="3" s="1"/>
  <c r="G32" i="3"/>
  <c r="G20" i="3"/>
  <c r="E32" i="2" l="1"/>
  <c r="E37" i="2" s="1"/>
  <c r="E39" i="2" s="1"/>
  <c r="K32" i="1"/>
  <c r="K37" i="1" s="1"/>
  <c r="K39" i="1" s="1"/>
  <c r="L32" i="1"/>
  <c r="L37" i="1" s="1"/>
  <c r="L39" i="1" s="1"/>
  <c r="N32" i="1"/>
  <c r="N37" i="1" s="1"/>
  <c r="N39" i="1" s="1"/>
  <c r="M32" i="1"/>
  <c r="M37" i="1" s="1"/>
  <c r="M39" i="1" s="1"/>
  <c r="E44" i="3"/>
  <c r="G44" i="3"/>
  <c r="P32" i="1"/>
  <c r="P37" i="1" s="1"/>
  <c r="P39" i="1" s="1"/>
  <c r="R32" i="1"/>
  <c r="R37" i="1" s="1"/>
  <c r="R39" i="1" s="1"/>
  <c r="O32" i="1"/>
  <c r="O37" i="1" s="1"/>
  <c r="O39" i="1" s="1"/>
  <c r="Q32" i="1"/>
  <c r="Q37" i="1" s="1"/>
  <c r="Q39" i="1" s="1"/>
  <c r="T32" i="1"/>
  <c r="T37" i="1" s="1"/>
  <c r="T39" i="1" s="1"/>
  <c r="F44" i="3"/>
  <c r="G32" i="2"/>
  <c r="G37" i="2" s="1"/>
  <c r="G39" i="2" s="1"/>
  <c r="S32" i="1"/>
  <c r="S37" i="1" s="1"/>
  <c r="S39" i="1" s="1"/>
  <c r="U32" i="1"/>
  <c r="U37" i="1" s="1"/>
  <c r="U39" i="1" s="1"/>
  <c r="V32" i="1" l="1"/>
  <c r="V37" i="1" s="1"/>
  <c r="V39" i="1" s="1"/>
  <c r="W32" i="1" l="1"/>
  <c r="W37" i="1" s="1"/>
  <c r="W39" i="1" s="1"/>
  <c r="H40" i="3" l="1"/>
  <c r="H42" i="3" s="1"/>
  <c r="H32" i="3"/>
  <c r="H20" i="3"/>
  <c r="X32" i="1"/>
  <c r="X37" i="1" s="1"/>
  <c r="X39" i="1" s="1"/>
  <c r="H44" i="3" l="1"/>
  <c r="Y32" i="1" l="1"/>
  <c r="Y37" i="1" s="1"/>
  <c r="Y39" i="1" s="1"/>
  <c r="Z32" i="1" l="1"/>
  <c r="Z37" i="1" s="1"/>
  <c r="Z39" i="1" s="1"/>
  <c r="AA32" i="1"/>
  <c r="AA37" i="1" s="1"/>
  <c r="AA39" i="1" s="1"/>
  <c r="I32" i="2" l="1"/>
  <c r="I40" i="3"/>
  <c r="I42" i="3" s="1"/>
  <c r="I32" i="3"/>
  <c r="I20" i="3"/>
  <c r="I37" i="2" l="1"/>
  <c r="I39" i="2" s="1"/>
  <c r="I44" i="3"/>
  <c r="AB32" i="1"/>
  <c r="AB37" i="1" l="1"/>
  <c r="AB39" i="1" s="1"/>
  <c r="AC32" i="1" l="1"/>
  <c r="AC37" i="1" s="1"/>
  <c r="AC39" i="1" s="1"/>
  <c r="AD32" i="1" l="1"/>
  <c r="AD37" i="1" s="1"/>
  <c r="AD39" i="1" s="1"/>
  <c r="AF32" i="1"/>
  <c r="AF37" i="1" l="1"/>
  <c r="AF39" i="1" s="1"/>
  <c r="J40" i="3"/>
  <c r="J42" i="3" s="1"/>
  <c r="J32" i="3"/>
  <c r="J20" i="3"/>
  <c r="AE32" i="1" l="1"/>
  <c r="AE37" i="1" s="1"/>
  <c r="AE39" i="1" s="1"/>
  <c r="J44" i="3"/>
  <c r="AG32" i="1"/>
  <c r="AG37" i="1" l="1"/>
  <c r="AG39" i="1" s="1"/>
  <c r="AH32" i="1" l="1"/>
  <c r="AH37" i="1" s="1"/>
  <c r="AH39" i="1" s="1"/>
  <c r="K40" i="3"/>
  <c r="K42" i="3" s="1"/>
  <c r="K32" i="3"/>
  <c r="K20" i="3"/>
  <c r="AI32" i="1" l="1"/>
  <c r="AI37" i="1" s="1"/>
  <c r="AI39" i="1" s="1"/>
  <c r="J32" i="2"/>
  <c r="K44" i="3"/>
  <c r="M40" i="3"/>
  <c r="M42" i="3" s="1"/>
  <c r="N40" i="3"/>
  <c r="N42" i="3" s="1"/>
  <c r="O40" i="3"/>
  <c r="O42" i="3" s="1"/>
  <c r="L40" i="3"/>
  <c r="L42" i="3" s="1"/>
  <c r="J37" i="2" l="1"/>
  <c r="J39" i="2" s="1"/>
  <c r="O32" i="3"/>
  <c r="O44" i="3" s="1"/>
  <c r="N32" i="3"/>
  <c r="N44" i="3" s="1"/>
  <c r="M32" i="3"/>
  <c r="M44" i="3" s="1"/>
  <c r="L32" i="3"/>
  <c r="L44" i="3" s="1"/>
  <c r="O20" i="3"/>
  <c r="N20" i="3"/>
  <c r="M20" i="3"/>
  <c r="L20" i="3"/>
  <c r="L32" i="2" l="1"/>
  <c r="L37" i="2" l="1"/>
  <c r="L39" i="2" s="1"/>
  <c r="AK32" i="1"/>
  <c r="M32" i="2"/>
  <c r="N32" i="2"/>
  <c r="O32" i="2"/>
  <c r="AJ32" i="1"/>
  <c r="AL32" i="1"/>
  <c r="N37" i="2" l="1"/>
  <c r="N39" i="2" s="1"/>
  <c r="O37" i="2"/>
  <c r="O39" i="2" s="1"/>
  <c r="M37" i="2"/>
  <c r="M39" i="2" s="1"/>
  <c r="AL37" i="1"/>
  <c r="AL39" i="1" s="1"/>
  <c r="AK37" i="1"/>
  <c r="AK39" i="1" s="1"/>
  <c r="AJ37" i="1"/>
  <c r="AJ39" i="1" s="1"/>
  <c r="AM32" i="1"/>
  <c r="AM37" i="1" l="1"/>
  <c r="AM39" i="1" s="1"/>
  <c r="AN32" i="1"/>
  <c r="AN37" i="1" l="1"/>
  <c r="AN39" i="1" s="1"/>
  <c r="AO32" i="1"/>
  <c r="AP32" i="1"/>
  <c r="AP37" i="1" s="1"/>
  <c r="AO37" i="1" l="1"/>
  <c r="AO39" i="1" s="1"/>
  <c r="AP39" i="1"/>
  <c r="K14" i="2" l="1"/>
  <c r="K15" i="2"/>
  <c r="K10" i="2"/>
  <c r="K7" i="2"/>
  <c r="K8" i="2"/>
  <c r="K9" i="2"/>
  <c r="K13" i="2"/>
  <c r="K11" i="2"/>
  <c r="K12" i="2"/>
  <c r="K6" i="2" l="1"/>
  <c r="K21" i="2" s="1"/>
  <c r="K32" i="2" s="1"/>
  <c r="K37" i="2" s="1"/>
  <c r="K39" i="2" s="1"/>
</calcChain>
</file>

<file path=xl/sharedStrings.xml><?xml version="1.0" encoding="utf-8"?>
<sst xmlns="http://schemas.openxmlformats.org/spreadsheetml/2006/main" count="404" uniqueCount="161">
  <si>
    <t>Marketing</t>
  </si>
  <si>
    <t>01.01.2015 - 31.12.2015</t>
  </si>
  <si>
    <t>01.01.2014 - 31.12.2014*</t>
  </si>
  <si>
    <t>01.01.2013 - 31.12.2013*</t>
  </si>
  <si>
    <t>01.01.2016 - 31.12.2016</t>
  </si>
  <si>
    <t>31.12.2013*</t>
  </si>
  <si>
    <t>31.12.2014*</t>
  </si>
  <si>
    <t>31.12.2015</t>
  </si>
  <si>
    <t>31.12.2016</t>
  </si>
  <si>
    <t>* adjusted data</t>
  </si>
  <si>
    <t>Result of operations on financial instruments</t>
  </si>
  <si>
    <t xml:space="preserve">Income from fees and charges </t>
  </si>
  <si>
    <t>Other income</t>
  </si>
  <si>
    <t xml:space="preserve">Salaries and employee benefits </t>
  </si>
  <si>
    <t>Other external services</t>
  </si>
  <si>
    <t>Costs of maintenance and lease of buildings</t>
  </si>
  <si>
    <t xml:space="preserve">Amortization and depreciation </t>
  </si>
  <si>
    <t>Other costs</t>
  </si>
  <si>
    <t>Total operating expenses</t>
  </si>
  <si>
    <t xml:space="preserve">Profit on operating activities </t>
  </si>
  <si>
    <t>Impairment of intangible assets</t>
  </si>
  <si>
    <t xml:space="preserve">Finance income </t>
  </si>
  <si>
    <t>Profit before tax</t>
  </si>
  <si>
    <t xml:space="preserve">Income tax </t>
  </si>
  <si>
    <t>Net profit</t>
  </si>
  <si>
    <t>Total operating income</t>
  </si>
  <si>
    <t>CONSOLIDATED COMPREHENSIVE INCOME STATEMENT - FOR THE QUARTER ENDED</t>
  </si>
  <si>
    <t>THREE-MONTH PERIOD ENDED</t>
  </si>
  <si>
    <t>Own cash and cash equivalents</t>
  </si>
  <si>
    <t>Customers’ cash and cash equivalents</t>
  </si>
  <si>
    <t>ASSETS</t>
  </si>
  <si>
    <t>Financial assets available for sale</t>
  </si>
  <si>
    <t>Income tax receivables</t>
  </si>
  <si>
    <t xml:space="preserve">Prepayments and deferred costs </t>
  </si>
  <si>
    <t xml:space="preserve">Intangible assets </t>
  </si>
  <si>
    <t>Property, plant and equipment</t>
  </si>
  <si>
    <t xml:space="preserve">Deferred income tax assets </t>
  </si>
  <si>
    <t>Total assets</t>
  </si>
  <si>
    <t>EQUITY AND LIABILITIES</t>
  </si>
  <si>
    <t>Financial assets held to maturity</t>
  </si>
  <si>
    <t xml:space="preserve">Financial assets held for trading </t>
  </si>
  <si>
    <t>Liabilities</t>
  </si>
  <si>
    <t>Amounts due to customers</t>
  </si>
  <si>
    <t xml:space="preserve">Financial liabilities held for trading </t>
  </si>
  <si>
    <t>Income tax liabilities</t>
  </si>
  <si>
    <t xml:space="preserve">Other liabilities </t>
  </si>
  <si>
    <t>Provisions for liabilities</t>
  </si>
  <si>
    <t>Deferred income tax provision</t>
  </si>
  <si>
    <t>Total liabilities</t>
  </si>
  <si>
    <t>Equity</t>
  </si>
  <si>
    <t>Share capital</t>
  </si>
  <si>
    <t>Supplementary capital</t>
  </si>
  <si>
    <t>Other reserves</t>
  </si>
  <si>
    <t xml:space="preserve">Foreign exchange differences on translation </t>
  </si>
  <si>
    <t>Retained earnings</t>
  </si>
  <si>
    <t>Equity attributable to the owners of the parent Company</t>
  </si>
  <si>
    <t xml:space="preserve">Total equity </t>
  </si>
  <si>
    <t xml:space="preserve">Total equity and liabilities </t>
  </si>
  <si>
    <t>(in PLN'000)</t>
  </si>
  <si>
    <t>01.01.2017 - 31.12.2017</t>
  </si>
  <si>
    <t xml:space="preserve">Financial assets at fair value through P&amp;L </t>
  </si>
  <si>
    <t>**N/A - not applicable – items which are not applicable due to the rules resulting from IFRS 9 from 1 January 2018</t>
  </si>
  <si>
    <t>N/A**</t>
  </si>
  <si>
    <t>01.01.2018 - 31.12.2018</t>
  </si>
  <si>
    <t xml:space="preserve">Taxes and statutory fees </t>
  </si>
  <si>
    <t>Financial assets at amortized cost</t>
  </si>
  <si>
    <t>Liabilities due to lease</t>
  </si>
  <si>
    <t xml:space="preserve">Profit (loss) on operating activities </t>
  </si>
  <si>
    <t>Profit (loss) before tax</t>
  </si>
  <si>
    <t>Net profit (loss)</t>
  </si>
  <si>
    <t>Q1 2019</t>
  </si>
  <si>
    <t>Q4 2018</t>
  </si>
  <si>
    <t>Q3 2018</t>
  </si>
  <si>
    <t>Q2 2018</t>
  </si>
  <si>
    <t>Q1 2018</t>
  </si>
  <si>
    <t>Q4 2017</t>
  </si>
  <si>
    <t>Q3 2017</t>
  </si>
  <si>
    <t>Q2 2017</t>
  </si>
  <si>
    <t>Q1 2017</t>
  </si>
  <si>
    <t>Q4 2016</t>
  </si>
  <si>
    <t>Q3 2016</t>
  </si>
  <si>
    <t>Q2 2016</t>
  </si>
  <si>
    <t>Q1 2016</t>
  </si>
  <si>
    <t>Q2 2019</t>
  </si>
  <si>
    <t>Q3 2019</t>
  </si>
  <si>
    <t>Q4 2019</t>
  </si>
  <si>
    <t>01.01.2019 - 31.12.2019</t>
  </si>
  <si>
    <t>Q1 2020</t>
  </si>
  <si>
    <t>Q2 2020</t>
  </si>
  <si>
    <t>Q3 2020</t>
  </si>
  <si>
    <t>01.01.2020 - 31.12.2020</t>
  </si>
  <si>
    <t xml:space="preserve"> - negative foreign exchange differences relating to a company in Turkey</t>
  </si>
  <si>
    <t>Q4 2020</t>
  </si>
  <si>
    <t>Finance costs, including:</t>
  </si>
  <si>
    <t>Q1 2021</t>
  </si>
  <si>
    <t>Q2 2021</t>
  </si>
  <si>
    <t>Q3 2021</t>
  </si>
  <si>
    <t>CONSOLIDATED COMPREHENSIVE INCOME STATEMENT - FOR THE YEAR ENDED</t>
  </si>
  <si>
    <t>01.01.2021 - 31.12.2021</t>
  </si>
  <si>
    <t>Q4 2021</t>
  </si>
  <si>
    <t>Commission expenses</t>
  </si>
  <si>
    <t>01.01.2023 - 31.12.2023*</t>
  </si>
  <si>
    <t>01.01.2022 - 31.12.2022*</t>
  </si>
  <si>
    <t>Net interest income on clients cash</t>
  </si>
  <si>
    <t>Q1 2024</t>
  </si>
  <si>
    <t>- profit attributable to owners of the parent company</t>
  </si>
  <si>
    <t>- profit (loss) attributable to owners of non-controlling interests</t>
  </si>
  <si>
    <t>Non-controlling interests</t>
  </si>
  <si>
    <t>Q2 2024</t>
  </si>
  <si>
    <t>CONSOLIDATED STATEMENT OF FINANCIAL POSITION - YEAR END</t>
  </si>
  <si>
    <t>*N/A - not applicable – items which are not applicable due to the rules resulting from IFRS 9 from 1 January 2018</t>
  </si>
  <si>
    <t>*N/A</t>
  </si>
  <si>
    <t>Q3 2024</t>
  </si>
  <si>
    <t>01.01.2024 - 31.12.2024</t>
  </si>
  <si>
    <t>- profit attributable to owners of the Parent Company</t>
  </si>
  <si>
    <t>-</t>
  </si>
  <si>
    <t>Q4 2024</t>
  </si>
  <si>
    <t>Q1 2025</t>
  </si>
  <si>
    <t xml:space="preserve">  - interest income from clients cash </t>
  </si>
  <si>
    <t xml:space="preserve">  - interest expense paid to clients </t>
  </si>
  <si>
    <t xml:space="preserve">  - Commodity CFDs</t>
  </si>
  <si>
    <t xml:space="preserve">  - Index CFDs</t>
  </si>
  <si>
    <t xml:space="preserve">  - Currency CFDs</t>
  </si>
  <si>
    <t xml:space="preserve">  - Stock and ETP CFDs</t>
  </si>
  <si>
    <t xml:space="preserve">  - Bond CFDs</t>
  </si>
  <si>
    <t xml:space="preserve">  - Options</t>
  </si>
  <si>
    <t xml:space="preserve">  - Stocks and ETPs</t>
  </si>
  <si>
    <t xml:space="preserve">  - Bonuses and discounts paid to customers</t>
  </si>
  <si>
    <t xml:space="preserve">  - Commission paid to cooperating brokers</t>
  </si>
  <si>
    <t>GEOGRAPHICAL AREAS</t>
  </si>
  <si>
    <t xml:space="preserve">Total operating income </t>
  </si>
  <si>
    <t xml:space="preserve">Central and Eastern Europe </t>
  </si>
  <si>
    <t xml:space="preserve">  - including Poland</t>
  </si>
  <si>
    <t>Western Europe</t>
  </si>
  <si>
    <t>Middle East***</t>
  </si>
  <si>
    <t>Asia</t>
  </si>
  <si>
    <t>** The subsidiary XTB International Ltd., with its seat in Belize, acquires clients from Latin America and the rest of the world (without Europe). The item excludes revenues of clients acquired by this company from the Middle East region.</t>
  </si>
  <si>
    <t>(w tys. PLN)</t>
  </si>
  <si>
    <t>CLIENT ASSETS</t>
  </si>
  <si>
    <t>Client cash</t>
  </si>
  <si>
    <t>Q4 2023*</t>
  </si>
  <si>
    <t>Q3 2023*</t>
  </si>
  <si>
    <t>Q2 2023*</t>
  </si>
  <si>
    <t>Q1 2023*</t>
  </si>
  <si>
    <t>Q4 2022*</t>
  </si>
  <si>
    <t>Q3 2022*</t>
  </si>
  <si>
    <t>Q2 2022*</t>
  </si>
  <si>
    <t>Q1 2022*</t>
  </si>
  <si>
    <t>XTB client assets</t>
  </si>
  <si>
    <t>Latin America** and Turkey (until the end of 2017)</t>
  </si>
  <si>
    <t>Q2 2025</t>
  </si>
  <si>
    <t>CONSOLIDATED STATEMENT OF FINANCIAL POSITION - AT THE END OF EACH QUARTER</t>
  </si>
  <si>
    <t>Q3 2025</t>
  </si>
  <si>
    <t>ND*</t>
  </si>
  <si>
    <t>01.01.2025 - 31.12.2025</t>
  </si>
  <si>
    <t>Q4 2025</t>
  </si>
  <si>
    <t>ND**</t>
  </si>
  <si>
    <t>Nominal value of clients' derivative instruments</t>
  </si>
  <si>
    <t>Nominal value of instruments held by clients in accounts (stocks and ETFs)</t>
  </si>
  <si>
    <t>*** Revenue from clients from the Middle East, acquired by XTB International Ltd. with its seat in Belize and XTB MENA Limited and XTB Financial Services L.L.C with its seat in the United Arab Emirates.</t>
  </si>
  <si>
    <t>*** Revenue from clients from the Middle East, acquired by XTB International Ltd. with its seat in Belize, XTB MENA Limited and XTB Financial Services L.L.C. with its seat in the United Arab Emirates.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</si>
</sst>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quot;zł&quot;_ ;_ * \(#,##0.00\)\ &quot;zł&quot;_ ;_ * &quot;-&quot;??_)\ &quot;zł&quot;_ ;_ @_ "/>
    <numFmt numFmtId="165" formatCode="#,##0_);\(#,##0\);\−\ "/>
  </numFmts>
  <fonts count="15">
    <font>
      <sz val="11"/>
      <color theme="1"/>
      <name val="Calibri"/>
      <family val="2"/>
      <charset val="238"/>
      <scheme val="minor"/>
    </font>
    <font>
      <sz val="11"/>
      <color theme="1"/>
      <name val="Czcionka tekstu podstawowego"/>
      <family val="2"/>
      <charset val="238"/>
    </font>
    <font>
      <sz val="11"/>
      <color indexed="8"/>
      <name val="Czcionka tekstu podstawowego"/>
      <family val="2"/>
      <charset val="238"/>
    </font>
    <font>
      <sz val="11"/>
      <color theme="1"/>
      <name val="Arial"/>
      <family val="2"/>
    </font>
    <font>
      <b/>
      <sz val="20"/>
      <color theme="1"/>
      <name val="Arial"/>
      <family val="2"/>
    </font>
    <font>
      <b/>
      <sz val="9"/>
      <color theme="1"/>
      <name val="Arial"/>
      <family val="2"/>
    </font>
    <font>
      <sz val="9"/>
      <color theme="1"/>
      <name val="Arial"/>
      <family val="2"/>
    </font>
    <font>
      <sz val="9"/>
      <color rgb="FF121E2A"/>
      <name val="Arial"/>
      <family val="2"/>
    </font>
    <font>
      <b/>
      <sz val="9"/>
      <color rgb="FF121E2A"/>
      <name val="Arial"/>
      <family val="2"/>
    </font>
    <font>
      <i/>
      <sz val="9"/>
      <color rgb="FF121E2A"/>
      <name val="Arial"/>
      <family val="2"/>
    </font>
    <font>
      <i/>
      <sz val="11"/>
      <color theme="1"/>
      <name val="Arial"/>
      <family val="2"/>
    </font>
    <font>
      <sz val="9"/>
      <color indexed="8"/>
      <name val="Arial"/>
      <family val="2"/>
    </font>
    <font>
      <i/>
      <sz val="8"/>
      <color theme="1"/>
      <name val="Arial"/>
      <family val="2"/>
    </font>
    <font>
      <i/>
      <sz val="9"/>
      <color theme="1"/>
      <name val="Arial"/>
      <family val="2"/>
    </font>
    <font>
      <b/>
      <sz val="14"/>
      <color theme="1"/>
      <name val="Arial"/>
      <family val="2"/>
    </font>
  </fonts>
  <fills count="9">
    <fill>
      <patternFill patternType="none"/>
    </fill>
    <fill>
      <patternFill patternType="gray125"/>
    </fill>
    <fill>
      <patternFill patternType="solid">
        <fgColor theme="0"/>
        <bgColor indexed="64"/>
      </patternFill>
    </fill>
    <fill>
      <patternFill patternType="solid">
        <fgColor rgb="FFF4F4F4"/>
        <bgColor indexed="64"/>
      </patternFill>
    </fill>
    <fill>
      <patternFill patternType="solid">
        <fgColor theme="0"/>
        <bgColor theme="0"/>
      </patternFill>
    </fill>
    <fill>
      <patternFill patternType="solid">
        <fgColor theme="0" tint="-0.34998626667073579"/>
        <bgColor theme="0" tint="-0.34998626667073579"/>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4.9989318521683403E-2"/>
        <bgColor theme="0"/>
      </patternFill>
    </fill>
  </fills>
  <borders count="27">
    <border>
      <left/>
      <right/>
      <top/>
      <bottom/>
      <diagonal/>
    </border>
    <border>
      <left/>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diagonal/>
    </border>
    <border>
      <left/>
      <right/>
      <top/>
      <bottom style="thin">
        <color auto="1"/>
      </bottom>
      <diagonal/>
    </border>
    <border>
      <left/>
      <right/>
      <top style="thin">
        <color auto="1"/>
      </top>
      <bottom style="thin">
        <color theme="0" tint="-0.24994659260841701"/>
      </bottom>
      <diagonal/>
    </border>
    <border>
      <left/>
      <right/>
      <top style="thin">
        <color theme="0" tint="-0.24994659260841701"/>
      </top>
      <bottom style="thin">
        <color auto="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auto="1"/>
      </bottom>
      <diagonal/>
    </border>
    <border>
      <left style="thin">
        <color theme="0" tint="-0.24994659260841701"/>
      </left>
      <right/>
      <top style="thin">
        <color auto="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auto="1"/>
      </top>
      <bottom/>
      <diagonal/>
    </border>
    <border>
      <left/>
      <right style="thin">
        <color theme="0" tint="-0.14996795556505021"/>
      </right>
      <top style="thin">
        <color auto="1"/>
      </top>
      <bottom/>
      <diagonal/>
    </border>
    <border>
      <left style="thin">
        <color theme="0" tint="-0.14996795556505021"/>
      </left>
      <right/>
      <top style="thin">
        <color auto="1"/>
      </top>
      <bottom/>
      <diagonal/>
    </border>
    <border>
      <left/>
      <right style="thin">
        <color theme="0" tint="-0.14996795556505021"/>
      </right>
      <top/>
      <bottom style="thin">
        <color auto="1"/>
      </bottom>
      <diagonal/>
    </border>
    <border>
      <left style="thin">
        <color theme="0" tint="-0.14996795556505021"/>
      </left>
      <right/>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s>
  <cellStyleXfs count="3">
    <xf numFmtId="0" fontId="0" fillId="0" borderId="0"/>
    <xf numFmtId="164" fontId="1" fillId="0" borderId="0" applyFont="0" applyFill="0" applyBorder="0" applyAlignment="0" applyProtection="0"/>
    <xf numFmtId="0" fontId="2" fillId="0" borderId="0"/>
  </cellStyleXfs>
  <cellXfs count="180">
    <xf numFmtId="0" fontId="0" fillId="0" borderId="0" xfId="0"/>
    <xf numFmtId="0" fontId="3" fillId="2" borderId="0" xfId="0" applyFont="1" applyFill="1"/>
    <xf numFmtId="0" fontId="4" fillId="2" borderId="0" xfId="0" applyFont="1" applyFill="1" applyAlignment="1">
      <alignment vertical="center"/>
    </xf>
    <xf numFmtId="0" fontId="5" fillId="6"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0" borderId="0" xfId="0" applyFont="1"/>
    <xf numFmtId="0" fontId="5"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164" fontId="5" fillId="6" borderId="8" xfId="1" applyFont="1" applyFill="1" applyBorder="1" applyAlignment="1">
      <alignment horizontal="center" vertical="center" wrapText="1"/>
    </xf>
    <xf numFmtId="0" fontId="7" fillId="2" borderId="0" xfId="0" applyFont="1" applyFill="1"/>
    <xf numFmtId="165" fontId="7" fillId="3" borderId="0" xfId="2" applyNumberFormat="1" applyFont="1" applyFill="1" applyAlignment="1">
      <alignment horizontal="right"/>
    </xf>
    <xf numFmtId="165" fontId="7" fillId="2" borderId="0" xfId="2" applyNumberFormat="1" applyFont="1" applyFill="1" applyAlignment="1">
      <alignment horizontal="right"/>
    </xf>
    <xf numFmtId="0" fontId="8" fillId="2" borderId="1" xfId="0" applyFont="1" applyFill="1" applyBorder="1"/>
    <xf numFmtId="165" fontId="8" fillId="2" borderId="1" xfId="2" applyNumberFormat="1" applyFont="1" applyFill="1" applyBorder="1" applyAlignment="1">
      <alignment horizontal="right"/>
    </xf>
    <xf numFmtId="165" fontId="3" fillId="2" borderId="0" xfId="0" applyNumberFormat="1" applyFont="1" applyFill="1"/>
    <xf numFmtId="0" fontId="7" fillId="2" borderId="14" xfId="0" applyFont="1" applyFill="1" applyBorder="1"/>
    <xf numFmtId="165" fontId="7" fillId="2" borderId="14" xfId="2" applyNumberFormat="1" applyFont="1" applyFill="1" applyBorder="1" applyAlignment="1">
      <alignment horizontal="right"/>
    </xf>
    <xf numFmtId="0" fontId="9" fillId="2" borderId="0" xfId="0" quotePrefix="1" applyFont="1" applyFill="1" applyAlignment="1">
      <alignment wrapText="1"/>
    </xf>
    <xf numFmtId="165" fontId="9" fillId="2" borderId="0" xfId="2" applyNumberFormat="1" applyFont="1" applyFill="1" applyAlignment="1">
      <alignment horizontal="right"/>
    </xf>
    <xf numFmtId="0" fontId="10" fillId="2" borderId="0" xfId="0" applyFont="1" applyFill="1"/>
    <xf numFmtId="0" fontId="6" fillId="2" borderId="0" xfId="0" applyFont="1" applyFill="1"/>
    <xf numFmtId="165" fontId="11" fillId="2" borderId="0" xfId="2" applyNumberFormat="1" applyFont="1" applyFill="1" applyAlignment="1">
      <alignment horizontal="right"/>
    </xf>
    <xf numFmtId="0" fontId="12" fillId="2" borderId="0" xfId="0" applyFont="1" applyFill="1"/>
    <xf numFmtId="0" fontId="12" fillId="2" borderId="0" xfId="0" applyFont="1" applyFill="1" applyAlignment="1">
      <alignment vertical="top"/>
    </xf>
    <xf numFmtId="0" fontId="5"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165" fontId="7" fillId="2" borderId="7" xfId="2" applyNumberFormat="1" applyFont="1" applyFill="1" applyBorder="1" applyAlignment="1">
      <alignment horizontal="right"/>
    </xf>
    <xf numFmtId="165" fontId="7" fillId="4" borderId="3" xfId="2" applyNumberFormat="1" applyFont="1" applyFill="1" applyBorder="1" applyAlignment="1">
      <alignment horizontal="right"/>
    </xf>
    <xf numFmtId="165" fontId="7" fillId="4" borderId="2" xfId="2" applyNumberFormat="1" applyFont="1" applyFill="1" applyBorder="1" applyAlignment="1">
      <alignment horizontal="right"/>
    </xf>
    <xf numFmtId="165" fontId="7" fillId="2" borderId="3" xfId="2" applyNumberFormat="1" applyFont="1" applyFill="1" applyBorder="1" applyAlignment="1">
      <alignment horizontal="right"/>
    </xf>
    <xf numFmtId="165" fontId="7" fillId="2" borderId="2" xfId="2" applyNumberFormat="1" applyFont="1" applyFill="1" applyBorder="1" applyAlignment="1">
      <alignment horizontal="right"/>
    </xf>
    <xf numFmtId="165" fontId="8" fillId="2" borderId="4" xfId="2" applyNumberFormat="1" applyFont="1" applyFill="1" applyBorder="1" applyAlignment="1">
      <alignment horizontal="right"/>
    </xf>
    <xf numFmtId="165" fontId="8" fillId="2" borderId="5" xfId="2" applyNumberFormat="1" applyFont="1" applyFill="1" applyBorder="1" applyAlignment="1">
      <alignment horizontal="right"/>
    </xf>
    <xf numFmtId="165" fontId="8" fillId="4" borderId="1" xfId="2" applyNumberFormat="1" applyFont="1" applyFill="1" applyBorder="1" applyAlignment="1">
      <alignment horizontal="right"/>
    </xf>
    <xf numFmtId="165" fontId="8" fillId="4" borderId="5" xfId="2" applyNumberFormat="1" applyFont="1" applyFill="1" applyBorder="1" applyAlignment="1">
      <alignment horizontal="right"/>
    </xf>
    <xf numFmtId="165" fontId="8" fillId="4" borderId="4" xfId="2" applyNumberFormat="1" applyFont="1" applyFill="1" applyBorder="1" applyAlignment="1">
      <alignment horizontal="right"/>
    </xf>
    <xf numFmtId="0" fontId="7" fillId="2" borderId="2" xfId="0" applyFont="1" applyFill="1" applyBorder="1"/>
    <xf numFmtId="0" fontId="7" fillId="2" borderId="3" xfId="0" applyFont="1" applyFill="1" applyBorder="1"/>
    <xf numFmtId="165" fontId="7" fillId="4" borderId="16" xfId="2" applyNumberFormat="1" applyFont="1" applyFill="1" applyBorder="1" applyAlignment="1">
      <alignment horizontal="right"/>
    </xf>
    <xf numFmtId="165" fontId="7" fillId="4" borderId="14" xfId="2" applyNumberFormat="1" applyFont="1" applyFill="1" applyBorder="1" applyAlignment="1">
      <alignment horizontal="right"/>
    </xf>
    <xf numFmtId="165" fontId="7" fillId="4" borderId="15" xfId="2" applyNumberFormat="1" applyFont="1" applyFill="1" applyBorder="1" applyAlignment="1">
      <alignment horizontal="right"/>
    </xf>
    <xf numFmtId="165" fontId="7" fillId="2" borderId="16" xfId="2" applyNumberFormat="1" applyFont="1" applyFill="1" applyBorder="1" applyAlignment="1">
      <alignment horizontal="right"/>
    </xf>
    <xf numFmtId="165" fontId="7" fillId="2" borderId="15" xfId="2" applyNumberFormat="1" applyFont="1" applyFill="1" applyBorder="1" applyAlignment="1">
      <alignment horizontal="right"/>
    </xf>
    <xf numFmtId="165" fontId="7" fillId="4" borderId="0" xfId="2" applyNumberFormat="1" applyFont="1" applyFill="1" applyAlignment="1">
      <alignment horizontal="right"/>
    </xf>
    <xf numFmtId="165" fontId="9" fillId="2" borderId="2" xfId="2" applyNumberFormat="1" applyFont="1" applyFill="1" applyBorder="1" applyAlignment="1">
      <alignment horizontal="right"/>
    </xf>
    <xf numFmtId="165" fontId="9" fillId="2" borderId="3" xfId="2" applyNumberFormat="1" applyFont="1" applyFill="1" applyBorder="1" applyAlignment="1">
      <alignment horizontal="right"/>
    </xf>
    <xf numFmtId="165" fontId="9" fillId="4" borderId="0" xfId="2" applyNumberFormat="1" applyFont="1" applyFill="1" applyAlignment="1">
      <alignment horizontal="right"/>
    </xf>
    <xf numFmtId="165" fontId="9" fillId="4" borderId="3" xfId="2" applyNumberFormat="1" applyFont="1" applyFill="1" applyBorder="1" applyAlignment="1">
      <alignment horizontal="right"/>
    </xf>
    <xf numFmtId="165" fontId="9" fillId="4" borderId="2" xfId="2" applyNumberFormat="1" applyFont="1" applyFill="1" applyBorder="1" applyAlignment="1">
      <alignment horizontal="right"/>
    </xf>
    <xf numFmtId="165" fontId="10" fillId="2" borderId="0" xfId="0" applyNumberFormat="1" applyFont="1" applyFill="1"/>
    <xf numFmtId="165" fontId="9" fillId="4" borderId="4" xfId="2" applyNumberFormat="1" applyFont="1" applyFill="1" applyBorder="1" applyAlignment="1">
      <alignment horizontal="right"/>
    </xf>
    <xf numFmtId="165" fontId="9" fillId="4" borderId="1" xfId="2" applyNumberFormat="1" applyFont="1" applyFill="1" applyBorder="1" applyAlignment="1">
      <alignment horizontal="right"/>
    </xf>
    <xf numFmtId="165" fontId="9" fillId="4" borderId="5" xfId="2" applyNumberFormat="1" applyFont="1" applyFill="1" applyBorder="1" applyAlignment="1">
      <alignment horizontal="right"/>
    </xf>
    <xf numFmtId="165" fontId="9" fillId="2" borderId="4" xfId="2" applyNumberFormat="1" applyFont="1" applyFill="1" applyBorder="1" applyAlignment="1">
      <alignment horizontal="right"/>
    </xf>
    <xf numFmtId="165" fontId="9" fillId="2" borderId="1" xfId="2" applyNumberFormat="1" applyFont="1" applyFill="1" applyBorder="1" applyAlignment="1">
      <alignment horizontal="right"/>
    </xf>
    <xf numFmtId="165" fontId="9" fillId="2" borderId="5" xfId="2" applyNumberFormat="1" applyFont="1" applyFill="1" applyBorder="1" applyAlignment="1">
      <alignment horizontal="right"/>
    </xf>
    <xf numFmtId="0" fontId="13" fillId="2" borderId="18" xfId="0" quotePrefix="1" applyFont="1" applyFill="1" applyBorder="1"/>
    <xf numFmtId="0" fontId="13" fillId="2" borderId="17" xfId="0" quotePrefix="1" applyFont="1" applyFill="1" applyBorder="1"/>
    <xf numFmtId="14" fontId="5" fillId="6" borderId="8" xfId="0" applyNumberFormat="1" applyFont="1" applyFill="1" applyBorder="1" applyAlignment="1">
      <alignment horizontal="center" vertical="center" wrapText="1"/>
    </xf>
    <xf numFmtId="0" fontId="8" fillId="2" borderId="0" xfId="0" applyFont="1" applyFill="1"/>
    <xf numFmtId="165" fontId="7" fillId="3" borderId="7" xfId="2" applyNumberFormat="1" applyFont="1" applyFill="1" applyBorder="1" applyAlignment="1">
      <alignment horizontal="right"/>
    </xf>
    <xf numFmtId="0" fontId="8" fillId="2" borderId="6" xfId="0" applyFont="1" applyFill="1" applyBorder="1"/>
    <xf numFmtId="165" fontId="8" fillId="2" borderId="6" xfId="2" applyNumberFormat="1" applyFont="1" applyFill="1" applyBorder="1" applyAlignment="1">
      <alignment horizontal="right"/>
    </xf>
    <xf numFmtId="165" fontId="8" fillId="2" borderId="0" xfId="2" applyNumberFormat="1" applyFont="1" applyFill="1" applyAlignment="1">
      <alignment horizontal="right"/>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14" fontId="5" fillId="6" borderId="22"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165" fontId="8" fillId="2" borderId="24" xfId="2" applyNumberFormat="1" applyFont="1" applyFill="1" applyBorder="1" applyAlignment="1">
      <alignment horizontal="right"/>
    </xf>
    <xf numFmtId="165" fontId="8" fillId="2" borderId="25" xfId="2" applyNumberFormat="1" applyFont="1" applyFill="1" applyBorder="1" applyAlignment="1">
      <alignment horizontal="right"/>
    </xf>
    <xf numFmtId="165" fontId="8" fillId="2" borderId="3" xfId="2" applyNumberFormat="1" applyFont="1" applyFill="1" applyBorder="1" applyAlignment="1">
      <alignment horizontal="right"/>
    </xf>
    <xf numFmtId="165" fontId="8" fillId="2" borderId="2" xfId="2" applyNumberFormat="1" applyFont="1" applyFill="1" applyBorder="1" applyAlignment="1">
      <alignment horizontal="right"/>
    </xf>
    <xf numFmtId="0" fontId="5" fillId="6" borderId="26" xfId="0" applyFont="1" applyFill="1" applyBorder="1" applyAlignment="1">
      <alignment horizontal="center" vertical="center" wrapText="1"/>
    </xf>
    <xf numFmtId="0" fontId="13" fillId="2" borderId="0" xfId="0" quotePrefix="1" applyFont="1" applyFill="1"/>
    <xf numFmtId="0" fontId="9" fillId="2" borderId="0" xfId="0" applyFont="1" applyFill="1" applyAlignment="1">
      <alignment vertical="center"/>
    </xf>
    <xf numFmtId="165" fontId="8" fillId="2" borderId="1" xfId="2" applyNumberFormat="1" applyFont="1" applyFill="1" applyBorder="1" applyAlignment="1">
      <alignment horizontal="right" vertical="center"/>
    </xf>
    <xf numFmtId="165" fontId="7" fillId="2" borderId="0" xfId="2" applyNumberFormat="1" applyFont="1" applyFill="1" applyAlignment="1">
      <alignment horizontal="right" vertical="center"/>
    </xf>
    <xf numFmtId="165" fontId="9" fillId="2" borderId="0" xfId="2" applyNumberFormat="1" applyFont="1" applyFill="1" applyAlignment="1">
      <alignment horizontal="right" vertical="center"/>
    </xf>
    <xf numFmtId="0" fontId="7" fillId="2" borderId="0" xfId="0" applyFont="1" applyFill="1" applyAlignment="1">
      <alignment vertical="center"/>
    </xf>
    <xf numFmtId="0" fontId="8" fillId="2" borderId="1" xfId="0" applyFont="1" applyFill="1" applyBorder="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3" fillId="2" borderId="0" xfId="0" applyFont="1" applyFill="1" applyAlignment="1">
      <alignment vertical="center"/>
    </xf>
    <xf numFmtId="165" fontId="7" fillId="2" borderId="7" xfId="2" applyNumberFormat="1" applyFont="1" applyFill="1" applyBorder="1" applyAlignment="1">
      <alignment horizontal="right" vertical="center"/>
    </xf>
    <xf numFmtId="0" fontId="8" fillId="2" borderId="6" xfId="0" applyFont="1" applyFill="1" applyBorder="1" applyAlignment="1">
      <alignment vertical="center"/>
    </xf>
    <xf numFmtId="165" fontId="8" fillId="2" borderId="6" xfId="2" applyNumberFormat="1" applyFont="1" applyFill="1" applyBorder="1" applyAlignment="1">
      <alignment horizontal="right" vertical="center"/>
    </xf>
    <xf numFmtId="165" fontId="7" fillId="2" borderId="13" xfId="2" applyNumberFormat="1" applyFont="1" applyFill="1" applyBorder="1" applyAlignment="1">
      <alignment horizontal="right" vertical="center"/>
    </xf>
    <xf numFmtId="165" fontId="7" fillId="2" borderId="19" xfId="2" applyNumberFormat="1" applyFont="1" applyFill="1" applyBorder="1" applyAlignment="1">
      <alignment horizontal="right" vertical="center"/>
    </xf>
    <xf numFmtId="165" fontId="7" fillId="2" borderId="2" xfId="2" applyNumberFormat="1" applyFont="1" applyFill="1" applyBorder="1" applyAlignment="1">
      <alignment horizontal="right" vertical="center"/>
    </xf>
    <xf numFmtId="165" fontId="7" fillId="2" borderId="3" xfId="2" applyNumberFormat="1" applyFont="1" applyFill="1" applyBorder="1" applyAlignment="1">
      <alignment horizontal="right" vertical="center"/>
    </xf>
    <xf numFmtId="165" fontId="9" fillId="2" borderId="2" xfId="2" applyNumberFormat="1" applyFont="1" applyFill="1" applyBorder="1" applyAlignment="1">
      <alignment horizontal="right" vertical="center"/>
    </xf>
    <xf numFmtId="165" fontId="9" fillId="2" borderId="3" xfId="2" applyNumberFormat="1" applyFont="1" applyFill="1" applyBorder="1" applyAlignment="1">
      <alignment horizontal="right" vertical="center"/>
    </xf>
    <xf numFmtId="165" fontId="8" fillId="2" borderId="4" xfId="2" applyNumberFormat="1" applyFont="1" applyFill="1" applyBorder="1" applyAlignment="1">
      <alignment horizontal="right" vertical="center"/>
    </xf>
    <xf numFmtId="165" fontId="8" fillId="2" borderId="5" xfId="2" applyNumberFormat="1" applyFont="1" applyFill="1" applyBorder="1" applyAlignment="1">
      <alignment horizontal="right" vertical="center"/>
    </xf>
    <xf numFmtId="0" fontId="5" fillId="6" borderId="7" xfId="0" applyFont="1" applyFill="1" applyBorder="1" applyAlignment="1">
      <alignment horizontal="left" vertical="center" wrapText="1"/>
    </xf>
    <xf numFmtId="0" fontId="5" fillId="6" borderId="7" xfId="0" applyFont="1" applyFill="1" applyBorder="1" applyAlignment="1">
      <alignment horizontal="left" vertical="center" wrapText="1"/>
    </xf>
    <xf numFmtId="0" fontId="7" fillId="7" borderId="0" xfId="0" applyFont="1" applyFill="1" applyAlignment="1">
      <alignment vertical="center"/>
    </xf>
    <xf numFmtId="165" fontId="9" fillId="4" borderId="1" xfId="2" applyNumberFormat="1" applyFont="1" applyFill="1" applyBorder="1" applyAlignment="1">
      <alignment horizontal="right" vertical="center"/>
    </xf>
    <xf numFmtId="0" fontId="8" fillId="7" borderId="0" xfId="0" applyFont="1" applyFill="1" applyAlignment="1">
      <alignment vertical="center"/>
    </xf>
    <xf numFmtId="3" fontId="7" fillId="3" borderId="0" xfId="0" applyNumberFormat="1" applyFont="1" applyFill="1" applyAlignment="1">
      <alignment horizontal="right" vertical="center"/>
    </xf>
    <xf numFmtId="0" fontId="7" fillId="3" borderId="0" xfId="0" applyFont="1" applyFill="1" applyAlignment="1">
      <alignment horizontal="right" vertical="center"/>
    </xf>
    <xf numFmtId="165" fontId="7" fillId="3" borderId="0" xfId="0" applyNumberFormat="1" applyFont="1" applyFill="1" applyAlignment="1">
      <alignment horizontal="right" vertical="center"/>
    </xf>
    <xf numFmtId="165" fontId="9" fillId="7" borderId="0" xfId="2" applyNumberFormat="1" applyFont="1" applyFill="1" applyAlignment="1">
      <alignment horizontal="right" vertical="center"/>
    </xf>
    <xf numFmtId="165" fontId="8" fillId="7" borderId="1" xfId="2" applyNumberFormat="1" applyFont="1" applyFill="1" applyBorder="1" applyAlignment="1">
      <alignment horizontal="right" vertical="center"/>
    </xf>
    <xf numFmtId="165" fontId="7" fillId="8" borderId="14" xfId="2" applyNumberFormat="1" applyFont="1" applyFill="1" applyBorder="1" applyAlignment="1">
      <alignment horizontal="right" vertical="center"/>
    </xf>
    <xf numFmtId="3" fontId="9" fillId="3" borderId="0" xfId="0" applyNumberFormat="1" applyFont="1" applyFill="1" applyAlignment="1">
      <alignment horizontal="right" vertical="center"/>
    </xf>
    <xf numFmtId="165" fontId="9" fillId="3" borderId="0" xfId="2" applyNumberFormat="1" applyFont="1" applyFill="1" applyAlignment="1">
      <alignment horizontal="right" vertical="center"/>
    </xf>
    <xf numFmtId="0" fontId="5" fillId="5" borderId="8" xfId="0" applyFont="1" applyFill="1" applyBorder="1" applyAlignment="1">
      <alignment horizontal="center" vertical="center" wrapText="1"/>
    </xf>
    <xf numFmtId="165" fontId="7" fillId="7" borderId="0" xfId="2" applyNumberFormat="1" applyFont="1" applyFill="1" applyAlignment="1">
      <alignment horizontal="right" vertical="center"/>
    </xf>
    <xf numFmtId="165" fontId="9" fillId="7" borderId="0" xfId="2" applyNumberFormat="1" applyFont="1" applyFill="1" applyAlignment="1">
      <alignment horizontal="right" vertical="center"/>
    </xf>
    <xf numFmtId="165" fontId="8" fillId="7" borderId="1" xfId="2" applyNumberFormat="1" applyFont="1" applyFill="1" applyBorder="1" applyAlignment="1">
      <alignment horizontal="right" vertical="center"/>
    </xf>
    <xf numFmtId="165" fontId="7" fillId="2" borderId="0" xfId="2" applyNumberFormat="1" applyFont="1" applyFill="1" applyAlignment="1">
      <alignment horizontal="right" vertical="center"/>
    </xf>
    <xf numFmtId="165" fontId="9" fillId="2" borderId="0" xfId="2" applyNumberFormat="1" applyFont="1" applyFill="1" applyAlignment="1">
      <alignment horizontal="right" vertical="center"/>
    </xf>
    <xf numFmtId="165" fontId="8" fillId="2" borderId="1" xfId="2" applyNumberFormat="1" applyFont="1" applyFill="1" applyBorder="1" applyAlignment="1">
      <alignment horizontal="right" vertical="center"/>
    </xf>
    <xf numFmtId="165" fontId="7" fillId="3" borderId="0" xfId="2" applyNumberFormat="1" applyFont="1" applyFill="1" applyAlignment="1">
      <alignment horizontal="right" vertical="center"/>
    </xf>
    <xf numFmtId="165" fontId="8" fillId="3" borderId="6" xfId="2" applyNumberFormat="1" applyFont="1" applyFill="1" applyBorder="1" applyAlignment="1">
      <alignment horizontal="right" vertical="center"/>
    </xf>
    <xf numFmtId="165" fontId="7" fillId="3" borderId="0" xfId="2" applyNumberFormat="1" applyFont="1" applyFill="1" applyAlignment="1">
      <alignment horizontal="right" vertical="center"/>
    </xf>
    <xf numFmtId="165" fontId="8" fillId="3" borderId="6" xfId="2" applyNumberFormat="1" applyFont="1" applyFill="1" applyBorder="1" applyAlignment="1">
      <alignment horizontal="right" vertical="center"/>
    </xf>
    <xf numFmtId="165" fontId="8" fillId="3" borderId="0" xfId="2" applyNumberFormat="1" applyFont="1" applyFill="1" applyAlignment="1">
      <alignment horizontal="right" vertical="center"/>
    </xf>
    <xf numFmtId="14" fontId="5" fillId="6" borderId="8" xfId="0" applyNumberFormat="1" applyFont="1" applyFill="1" applyBorder="1" applyAlignment="1">
      <alignment horizontal="center" vertical="center" wrapText="1"/>
    </xf>
    <xf numFmtId="165" fontId="7" fillId="2" borderId="0" xfId="2" applyNumberFormat="1" applyFont="1" applyFill="1" applyAlignment="1">
      <alignment horizontal="right" vertical="center"/>
    </xf>
    <xf numFmtId="165" fontId="7" fillId="2" borderId="7" xfId="2" applyNumberFormat="1" applyFont="1" applyFill="1" applyBorder="1" applyAlignment="1">
      <alignment horizontal="right" vertical="center"/>
    </xf>
    <xf numFmtId="165" fontId="7" fillId="3" borderId="7" xfId="2" applyNumberFormat="1" applyFont="1" applyFill="1" applyBorder="1" applyAlignment="1">
      <alignment horizontal="right" vertical="center"/>
    </xf>
    <xf numFmtId="165" fontId="7" fillId="3" borderId="0" xfId="2" applyNumberFormat="1" applyFont="1" applyFill="1" applyAlignment="1">
      <alignment horizontal="right" vertical="center"/>
    </xf>
    <xf numFmtId="165" fontId="8" fillId="3" borderId="6" xfId="2" applyNumberFormat="1" applyFont="1" applyFill="1" applyBorder="1" applyAlignment="1">
      <alignment horizontal="right" vertical="center"/>
    </xf>
    <xf numFmtId="165" fontId="8" fillId="2" borderId="6" xfId="2" applyNumberFormat="1" applyFont="1" applyFill="1" applyBorder="1" applyAlignment="1">
      <alignment horizontal="right" vertical="center"/>
    </xf>
    <xf numFmtId="165" fontId="7" fillId="2" borderId="1" xfId="2" applyNumberFormat="1" applyFont="1" applyFill="1" applyBorder="1" applyAlignment="1">
      <alignment horizontal="right" vertical="center"/>
    </xf>
    <xf numFmtId="165" fontId="7" fillId="3" borderId="1" xfId="2" applyNumberFormat="1" applyFont="1" applyFill="1" applyBorder="1" applyAlignment="1">
      <alignment horizontal="right" vertical="center"/>
    </xf>
    <xf numFmtId="165" fontId="7" fillId="7" borderId="0" xfId="2" applyNumberFormat="1" applyFont="1" applyFill="1" applyAlignment="1">
      <alignment horizontal="right" vertical="center"/>
    </xf>
    <xf numFmtId="165" fontId="9" fillId="7" borderId="0" xfId="2" applyNumberFormat="1" applyFont="1" applyFill="1" applyAlignment="1">
      <alignment horizontal="right" vertical="center"/>
    </xf>
    <xf numFmtId="165" fontId="8" fillId="7" borderId="1" xfId="2" applyNumberFormat="1" applyFont="1" applyFill="1" applyBorder="1" applyAlignment="1">
      <alignment horizontal="right" vertical="center"/>
    </xf>
    <xf numFmtId="165" fontId="8" fillId="8" borderId="1" xfId="2" applyNumberFormat="1" applyFont="1" applyFill="1" applyBorder="1" applyAlignment="1">
      <alignment horizontal="right" vertical="center"/>
    </xf>
    <xf numFmtId="165" fontId="7" fillId="8" borderId="14" xfId="2" applyNumberFormat="1" applyFont="1" applyFill="1" applyBorder="1" applyAlignment="1">
      <alignment horizontal="right" vertical="center"/>
    </xf>
    <xf numFmtId="0" fontId="7" fillId="7" borderId="0" xfId="0" applyFont="1" applyFill="1" applyAlignment="1">
      <alignment vertical="center"/>
    </xf>
    <xf numFmtId="3" fontId="7" fillId="7" borderId="0" xfId="0" applyNumberFormat="1" applyFont="1" applyFill="1" applyAlignment="1">
      <alignment vertical="center"/>
    </xf>
    <xf numFmtId="3" fontId="13" fillId="7" borderId="0" xfId="0" applyNumberFormat="1" applyFont="1" applyFill="1" applyAlignment="1">
      <alignment vertical="center"/>
    </xf>
    <xf numFmtId="3" fontId="9" fillId="7" borderId="0" xfId="0" applyNumberFormat="1" applyFont="1" applyFill="1" applyAlignment="1">
      <alignment vertical="center"/>
    </xf>
    <xf numFmtId="165" fontId="7" fillId="7" borderId="0" xfId="0" applyNumberFormat="1" applyFont="1" applyFill="1" applyAlignment="1">
      <alignment vertical="center"/>
    </xf>
    <xf numFmtId="165" fontId="13" fillId="7" borderId="1" xfId="0" applyNumberFormat="1" applyFont="1" applyFill="1" applyBorder="1" applyAlignment="1">
      <alignment vertical="center"/>
    </xf>
    <xf numFmtId="165" fontId="7" fillId="7" borderId="0" xfId="2" applyNumberFormat="1" applyFont="1" applyFill="1" applyAlignment="1">
      <alignment horizontal="right" vertical="center"/>
    </xf>
    <xf numFmtId="165" fontId="8" fillId="7" borderId="1" xfId="2" applyNumberFormat="1" applyFont="1" applyFill="1" applyBorder="1" applyAlignment="1">
      <alignment horizontal="right" vertical="center"/>
    </xf>
    <xf numFmtId="3" fontId="7" fillId="7" borderId="0" xfId="0" applyNumberFormat="1" applyFont="1" applyFill="1" applyAlignment="1">
      <alignment vertical="center"/>
    </xf>
    <xf numFmtId="3" fontId="9" fillId="7" borderId="0" xfId="0" applyNumberFormat="1" applyFont="1" applyFill="1" applyAlignment="1">
      <alignment vertical="center"/>
    </xf>
    <xf numFmtId="14" fontId="5" fillId="6" borderId="8" xfId="0" applyNumberFormat="1" applyFont="1" applyFill="1" applyBorder="1" applyAlignment="1">
      <alignment horizontal="center" vertical="center" wrapText="1"/>
    </xf>
    <xf numFmtId="165" fontId="7" fillId="7" borderId="0" xfId="2" applyNumberFormat="1" applyFont="1" applyFill="1" applyAlignment="1">
      <alignment horizontal="right" vertical="center"/>
    </xf>
    <xf numFmtId="3" fontId="7" fillId="7" borderId="0" xfId="0" applyNumberFormat="1" applyFont="1" applyFill="1" applyAlignment="1">
      <alignment vertical="center"/>
    </xf>
    <xf numFmtId="165" fontId="8" fillId="7" borderId="6" xfId="2" applyNumberFormat="1" applyFont="1" applyFill="1" applyBorder="1" applyAlignment="1">
      <alignment horizontal="right" vertical="center"/>
    </xf>
    <xf numFmtId="14" fontId="5" fillId="6" borderId="8" xfId="0" applyNumberFormat="1" applyFont="1" applyFill="1" applyBorder="1" applyAlignment="1">
      <alignment horizontal="center" vertical="center" wrapText="1"/>
    </xf>
    <xf numFmtId="165" fontId="7" fillId="7" borderId="0" xfId="2" applyNumberFormat="1" applyFont="1" applyFill="1" applyAlignment="1">
      <alignment horizontal="right" vertical="center"/>
    </xf>
    <xf numFmtId="3" fontId="7" fillId="7" borderId="0" xfId="0" applyNumberFormat="1" applyFont="1" applyFill="1" applyAlignment="1">
      <alignment vertical="center"/>
    </xf>
    <xf numFmtId="0" fontId="8" fillId="7" borderId="0" xfId="0" applyFont="1" applyFill="1" applyAlignment="1">
      <alignment vertical="center"/>
    </xf>
    <xf numFmtId="165" fontId="8" fillId="7" borderId="6" xfId="2" applyNumberFormat="1" applyFont="1" applyFill="1" applyBorder="1" applyAlignment="1">
      <alignment horizontal="right" vertical="center"/>
    </xf>
    <xf numFmtId="0" fontId="8" fillId="7" borderId="6" xfId="0" applyFont="1" applyFill="1" applyBorder="1" applyAlignment="1">
      <alignment vertical="center"/>
    </xf>
    <xf numFmtId="165" fontId="7" fillId="7" borderId="0" xfId="2" applyNumberFormat="1" applyFont="1" applyFill="1" applyAlignment="1">
      <alignment horizontal="right" vertical="center"/>
    </xf>
    <xf numFmtId="165" fontId="7" fillId="2" borderId="2" xfId="2" applyNumberFormat="1" applyFont="1" applyFill="1" applyBorder="1" applyAlignment="1">
      <alignment horizontal="right" vertical="center"/>
    </xf>
    <xf numFmtId="165" fontId="7" fillId="2" borderId="3" xfId="2" applyNumberFormat="1" applyFont="1" applyFill="1" applyBorder="1" applyAlignment="1">
      <alignment horizontal="right" vertical="center"/>
    </xf>
    <xf numFmtId="165" fontId="7" fillId="2" borderId="0" xfId="2" applyNumberFormat="1" applyFont="1" applyFill="1" applyAlignment="1">
      <alignment horizontal="right" vertical="center"/>
    </xf>
    <xf numFmtId="165" fontId="8" fillId="2" borderId="25" xfId="2" applyNumberFormat="1" applyFont="1" applyFill="1" applyBorder="1" applyAlignment="1">
      <alignment horizontal="right" vertical="center"/>
    </xf>
    <xf numFmtId="165" fontId="8" fillId="2" borderId="6" xfId="2" applyNumberFormat="1" applyFont="1" applyFill="1" applyBorder="1" applyAlignment="1">
      <alignment horizontal="right" vertical="center"/>
    </xf>
    <xf numFmtId="165" fontId="8" fillId="2" borderId="24" xfId="2" applyNumberFormat="1" applyFont="1" applyFill="1" applyBorder="1" applyAlignment="1">
      <alignment horizontal="right" vertical="center"/>
    </xf>
    <xf numFmtId="3" fontId="7" fillId="7" borderId="0" xfId="0" applyNumberFormat="1" applyFont="1" applyFill="1" applyAlignment="1">
      <alignment vertical="center"/>
    </xf>
    <xf numFmtId="165" fontId="8" fillId="7" borderId="6" xfId="2" applyNumberFormat="1" applyFont="1" applyFill="1" applyBorder="1" applyAlignment="1">
      <alignment horizontal="right" vertical="center"/>
    </xf>
    <xf numFmtId="0" fontId="4" fillId="2" borderId="0" xfId="0" applyFont="1" applyFill="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6"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3" fontId="7"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7" fillId="2" borderId="0" xfId="0" applyFont="1" applyFill="1" applyAlignment="1">
      <alignment horizontal="right" vertical="center"/>
    </xf>
    <xf numFmtId="165" fontId="7" fillId="2" borderId="0" xfId="0" applyNumberFormat="1" applyFont="1" applyFill="1" applyAlignment="1">
      <alignment horizontal="right" vertical="center"/>
    </xf>
    <xf numFmtId="0" fontId="9" fillId="2" borderId="0" xfId="0" quotePrefix="1" applyFont="1" applyFill="1" applyAlignment="1">
      <alignment horizontal="right" vertical="center"/>
    </xf>
    <xf numFmtId="3" fontId="7" fillId="2" borderId="0" xfId="0" applyNumberFormat="1" applyFont="1" applyFill="1" applyAlignment="1">
      <alignment vertical="center"/>
    </xf>
    <xf numFmtId="3" fontId="9" fillId="2" borderId="0" xfId="0" applyNumberFormat="1" applyFont="1" applyFill="1" applyAlignment="1">
      <alignment vertical="center"/>
    </xf>
    <xf numFmtId="165" fontId="8" fillId="4" borderId="1" xfId="2" applyNumberFormat="1" applyFont="1" applyFill="1" applyBorder="1" applyAlignment="1">
      <alignment horizontal="right" vertical="center"/>
    </xf>
    <xf numFmtId="165" fontId="7" fillId="4" borderId="14" xfId="2" applyNumberFormat="1" applyFont="1" applyFill="1" applyBorder="1" applyAlignment="1">
      <alignment horizontal="right" vertical="center"/>
    </xf>
    <xf numFmtId="3" fontId="13" fillId="2" borderId="0" xfId="0" applyNumberFormat="1" applyFont="1" applyFill="1" applyAlignment="1">
      <alignment vertical="center"/>
    </xf>
    <xf numFmtId="0" fontId="13" fillId="2" borderId="1" xfId="0" applyFont="1" applyFill="1" applyBorder="1" applyAlignment="1">
      <alignment vertical="center"/>
    </xf>
    <xf numFmtId="0" fontId="8" fillId="2" borderId="0" xfId="0" applyFont="1" applyFill="1" applyAlignment="1">
      <alignment vertical="center"/>
    </xf>
  </cellXfs>
  <cellStyles count="3">
    <cellStyle name="Excel Built-in Normal 2" xfId="2" xr:uid="{00000000-0005-0000-0000-000000000000}"/>
    <cellStyle name="Normalny" xfId="0" builtinId="0"/>
    <cellStyle name="Walutowy 61" xfId="1" xr:uid="{00000000-0005-0000-0000-000002000000}"/>
  </cellStyles>
  <dxfs count="0"/>
  <tableStyles count="0" defaultTableStyle="TableStyleMedium2" defaultPivotStyle="PivotStyleLight16"/>
  <colors>
    <mruColors>
      <color rgb="FFF4F4F4"/>
      <color rgb="FF00B27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kostrzynski\Desktop\Wybrane%20dane\Wybrane%20dane%20finansowe%20PL%20(Q1.2025).xlsx" TargetMode="External"/><Relationship Id="rId1" Type="http://schemas.openxmlformats.org/officeDocument/2006/relationships/externalLinkPath" Target="file:///C:\Users\skostrzynski\Desktop\Wybrane%20dane\Wybrane%20dane%20finansowe%20PL%20(Q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RAW. Z DOCH. CAŁK.-roczne"/>
      <sheetName val="SPRAW. Z SYT. FIN.-roczne"/>
      <sheetName val="SPRAW. Z DOCH. CAŁK.-kwartalnie"/>
      <sheetName val="SPRAW. Z SYT. FIN.-kwartalnie"/>
    </sheetNames>
    <sheetDataSet>
      <sheetData sheetId="0"/>
      <sheetData sheetId="1" refreshError="1"/>
      <sheetData sheetId="2">
        <row r="7">
          <cell r="AF7">
            <v>9710</v>
          </cell>
          <cell r="AG7">
            <v>5544</v>
          </cell>
          <cell r="AH7">
            <v>15013</v>
          </cell>
          <cell r="AI7">
            <v>2831</v>
          </cell>
        </row>
        <row r="8">
          <cell r="AF8">
            <v>67797</v>
          </cell>
          <cell r="AG8">
            <v>36530</v>
          </cell>
          <cell r="AH8">
            <v>21276</v>
          </cell>
          <cell r="AI8">
            <v>43249</v>
          </cell>
        </row>
        <row r="9">
          <cell r="AF9">
            <v>-2463</v>
          </cell>
          <cell r="AG9">
            <v>29380</v>
          </cell>
          <cell r="AH9">
            <v>28960</v>
          </cell>
          <cell r="AI9">
            <v>11782</v>
          </cell>
        </row>
        <row r="10">
          <cell r="AF10">
            <v>-972</v>
          </cell>
          <cell r="AG10">
            <v>918</v>
          </cell>
          <cell r="AH10">
            <v>1482</v>
          </cell>
          <cell r="AI10">
            <v>471</v>
          </cell>
        </row>
        <row r="11">
          <cell r="AF11">
            <v>3</v>
          </cell>
          <cell r="AG11">
            <v>171</v>
          </cell>
          <cell r="AH11">
            <v>-134</v>
          </cell>
          <cell r="AI11">
            <v>-123</v>
          </cell>
        </row>
        <row r="12">
          <cell r="AF12">
            <v>1765</v>
          </cell>
          <cell r="AG12">
            <v>1376</v>
          </cell>
          <cell r="AH12">
            <v>1661</v>
          </cell>
          <cell r="AI12">
            <v>2082</v>
          </cell>
        </row>
        <row r="13">
          <cell r="AF13">
            <v>859</v>
          </cell>
          <cell r="AG13">
            <v>-3</v>
          </cell>
          <cell r="AH13">
            <v>-856</v>
          </cell>
        </row>
        <row r="14">
          <cell r="AF14">
            <v>-595</v>
          </cell>
          <cell r="AG14">
            <v>-1051</v>
          </cell>
          <cell r="AH14">
            <v>-978</v>
          </cell>
          <cell r="AI14">
            <v>-797</v>
          </cell>
        </row>
        <row r="15">
          <cell r="AF15">
            <v>-1872</v>
          </cell>
          <cell r="AG15">
            <v>-869</v>
          </cell>
          <cell r="AH15">
            <v>-1114</v>
          </cell>
          <cell r="AI15">
            <v>-1845</v>
          </cell>
        </row>
      </sheetData>
      <sheetData sheetId="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Z5695"/>
  <sheetViews>
    <sheetView tabSelected="1" zoomScaleNormal="100" workbookViewId="0">
      <pane xSplit="2" ySplit="5" topLeftCell="C6" activePane="bottomRight" state="frozen"/>
      <selection pane="topRight" activeCell="C1" sqref="C1"/>
      <selection pane="bottomLeft" activeCell="A6" sqref="A6"/>
      <selection pane="bottomRight" activeCell="C19" sqref="C19"/>
    </sheetView>
  </sheetViews>
  <sheetFormatPr defaultColWidth="8.7265625" defaultRowHeight="14" outlineLevelRow="1"/>
  <cols>
    <col min="1" max="1" width="1.1796875" style="1" customWidth="1"/>
    <col min="2" max="2" width="48.54296875" style="5" customWidth="1"/>
    <col min="3" max="3" width="15.54296875" style="5" customWidth="1"/>
    <col min="4" max="15" width="13.54296875" style="5" customWidth="1"/>
    <col min="16" max="858" width="9.1796875" style="1" customWidth="1"/>
    <col min="859" max="16384" width="8.7265625" style="5"/>
  </cols>
  <sheetData>
    <row r="1" spans="2:16" s="1" customFormat="1" ht="15" customHeight="1">
      <c r="B1" s="163" t="s">
        <v>97</v>
      </c>
      <c r="C1" s="163"/>
      <c r="D1" s="163"/>
      <c r="E1" s="163"/>
      <c r="F1" s="163"/>
      <c r="G1" s="163"/>
      <c r="H1" s="163"/>
      <c r="I1" s="163"/>
      <c r="J1" s="163"/>
      <c r="K1" s="163"/>
      <c r="L1" s="163"/>
      <c r="M1" s="163"/>
      <c r="N1" s="163"/>
      <c r="O1" s="163"/>
      <c r="P1" s="2"/>
    </row>
    <row r="2" spans="2:16" s="1" customFormat="1" ht="15" customHeight="1">
      <c r="B2" s="163"/>
      <c r="C2" s="163"/>
      <c r="D2" s="163"/>
      <c r="E2" s="163"/>
      <c r="F2" s="163"/>
      <c r="G2" s="163"/>
      <c r="H2" s="163"/>
      <c r="I2" s="163"/>
      <c r="J2" s="163"/>
      <c r="K2" s="163"/>
      <c r="L2" s="163"/>
      <c r="M2" s="163"/>
      <c r="N2" s="163"/>
      <c r="O2" s="163"/>
      <c r="P2" s="2"/>
    </row>
    <row r="3" spans="2:16" s="1" customFormat="1"/>
    <row r="4" spans="2:16" ht="5.25" customHeight="1">
      <c r="B4" s="164" t="s">
        <v>58</v>
      </c>
      <c r="C4" s="96"/>
      <c r="D4" s="4"/>
      <c r="E4" s="4"/>
      <c r="F4" s="3"/>
      <c r="G4" s="3"/>
      <c r="H4" s="3"/>
      <c r="I4" s="3"/>
      <c r="J4" s="3"/>
      <c r="K4" s="3"/>
      <c r="L4" s="166"/>
      <c r="M4" s="166"/>
      <c r="N4" s="166"/>
      <c r="O4" s="166"/>
    </row>
    <row r="5" spans="2:16" ht="23">
      <c r="B5" s="165"/>
      <c r="C5" s="108" t="s">
        <v>154</v>
      </c>
      <c r="D5" s="6" t="s">
        <v>113</v>
      </c>
      <c r="E5" s="6" t="s">
        <v>101</v>
      </c>
      <c r="F5" s="6" t="s">
        <v>102</v>
      </c>
      <c r="G5" s="7" t="s">
        <v>98</v>
      </c>
      <c r="H5" s="7" t="s">
        <v>90</v>
      </c>
      <c r="I5" s="7" t="s">
        <v>86</v>
      </c>
      <c r="J5" s="7" t="s">
        <v>63</v>
      </c>
      <c r="K5" s="7" t="s">
        <v>59</v>
      </c>
      <c r="L5" s="7" t="s">
        <v>4</v>
      </c>
      <c r="M5" s="8" t="s">
        <v>1</v>
      </c>
      <c r="N5" s="8" t="s">
        <v>2</v>
      </c>
      <c r="O5" s="8" t="s">
        <v>3</v>
      </c>
    </row>
    <row r="6" spans="2:16" s="1" customFormat="1">
      <c r="B6" s="9" t="s">
        <v>10</v>
      </c>
      <c r="C6" s="100">
        <v>2044582</v>
      </c>
      <c r="D6" s="168">
        <f>SUM(D7:D15)</f>
        <v>1800575</v>
      </c>
      <c r="E6" s="77">
        <f t="shared" ref="E6:N6" si="0">SUM(E7:E15)</f>
        <v>1574491</v>
      </c>
      <c r="F6" s="77">
        <f t="shared" si="0"/>
        <v>1437160</v>
      </c>
      <c r="G6" s="77">
        <f t="shared" si="0"/>
        <v>618453</v>
      </c>
      <c r="H6" s="77">
        <f t="shared" si="0"/>
        <v>792788</v>
      </c>
      <c r="I6" s="77">
        <f t="shared" si="0"/>
        <v>233106</v>
      </c>
      <c r="J6" s="77">
        <f t="shared" si="0"/>
        <v>281473</v>
      </c>
      <c r="K6" s="77">
        <f t="shared" si="0"/>
        <v>269188</v>
      </c>
      <c r="L6" s="77">
        <f t="shared" si="0"/>
        <v>245216</v>
      </c>
      <c r="M6" s="77">
        <f t="shared" si="0"/>
        <v>274671</v>
      </c>
      <c r="N6" s="77">
        <f t="shared" si="0"/>
        <v>197785</v>
      </c>
      <c r="O6" s="77">
        <f>SUM(O7:O15)</f>
        <v>209884</v>
      </c>
    </row>
    <row r="7" spans="2:16" s="1" customFormat="1" ht="14" hidden="1" customHeight="1" outlineLevel="1">
      <c r="B7" s="75" t="s">
        <v>120</v>
      </c>
      <c r="C7" s="106">
        <v>923714</v>
      </c>
      <c r="D7" s="169">
        <v>896672</v>
      </c>
      <c r="E7" s="78">
        <v>650847</v>
      </c>
      <c r="F7" s="78">
        <v>501314</v>
      </c>
      <c r="G7" s="78">
        <v>313948</v>
      </c>
      <c r="H7" s="78">
        <v>263949</v>
      </c>
      <c r="I7" s="78">
        <v>12021</v>
      </c>
      <c r="J7" s="78">
        <v>69499</v>
      </c>
      <c r="K7" s="78">
        <f>SUM('[1]SPRAW. Z DOCH. CAŁK.-kwartalnie'!AF7:AI7)</f>
        <v>33098</v>
      </c>
      <c r="L7" s="78">
        <v>58069</v>
      </c>
      <c r="M7" s="78">
        <v>72776</v>
      </c>
      <c r="N7" s="78">
        <v>81163</v>
      </c>
      <c r="O7" s="78">
        <v>62657</v>
      </c>
    </row>
    <row r="8" spans="2:16" s="1" customFormat="1" ht="14" hidden="1" customHeight="1" outlineLevel="1">
      <c r="B8" s="75" t="s">
        <v>121</v>
      </c>
      <c r="C8" s="106">
        <v>760736</v>
      </c>
      <c r="D8" s="169">
        <v>622728</v>
      </c>
      <c r="E8" s="78">
        <v>781285</v>
      </c>
      <c r="F8" s="78">
        <v>687424</v>
      </c>
      <c r="G8" s="78">
        <v>209304</v>
      </c>
      <c r="H8" s="78">
        <v>425917</v>
      </c>
      <c r="I8" s="78">
        <v>175116</v>
      </c>
      <c r="J8" s="78">
        <v>141924</v>
      </c>
      <c r="K8" s="78">
        <f>SUM('[1]SPRAW. Z DOCH. CAŁK.-kwartalnie'!AF8:AI8)</f>
        <v>168852</v>
      </c>
      <c r="L8" s="78">
        <v>117756</v>
      </c>
      <c r="M8" s="78">
        <v>118248</v>
      </c>
      <c r="N8" s="78">
        <v>82003</v>
      </c>
      <c r="O8" s="78">
        <v>63986</v>
      </c>
    </row>
    <row r="9" spans="2:16" s="1" customFormat="1" ht="14" hidden="1" customHeight="1" outlineLevel="1">
      <c r="B9" s="75" t="s">
        <v>122</v>
      </c>
      <c r="C9" s="106">
        <v>290408</v>
      </c>
      <c r="D9" s="169">
        <v>272276</v>
      </c>
      <c r="E9" s="78">
        <v>165161</v>
      </c>
      <c r="F9" s="78">
        <v>251429</v>
      </c>
      <c r="G9" s="78">
        <v>79761</v>
      </c>
      <c r="H9" s="78">
        <v>91951</v>
      </c>
      <c r="I9" s="78">
        <v>42624</v>
      </c>
      <c r="J9" s="78">
        <v>67192</v>
      </c>
      <c r="K9" s="78">
        <f>SUM('[1]SPRAW. Z DOCH. CAŁK.-kwartalnie'!AF9:AI9)</f>
        <v>67659</v>
      </c>
      <c r="L9" s="78">
        <v>71385</v>
      </c>
      <c r="M9" s="78">
        <v>90914</v>
      </c>
      <c r="N9" s="78">
        <v>40725</v>
      </c>
      <c r="O9" s="78">
        <v>104538</v>
      </c>
    </row>
    <row r="10" spans="2:16" s="1" customFormat="1" ht="14" hidden="1" customHeight="1" outlineLevel="1">
      <c r="B10" s="75" t="s">
        <v>123</v>
      </c>
      <c r="C10" s="106">
        <v>60047</v>
      </c>
      <c r="D10" s="169">
        <v>44762</v>
      </c>
      <c r="E10" s="78">
        <v>24261</v>
      </c>
      <c r="F10" s="78">
        <v>36816</v>
      </c>
      <c r="G10" s="78">
        <v>34885</v>
      </c>
      <c r="H10" s="78">
        <v>12885</v>
      </c>
      <c r="I10" s="78">
        <v>2313</v>
      </c>
      <c r="J10" s="78">
        <v>2878</v>
      </c>
      <c r="K10" s="78">
        <f>SUM('[1]SPRAW. Z DOCH. CAŁK.-kwartalnie'!AF10:AI10)</f>
        <v>1899</v>
      </c>
      <c r="L10" s="78">
        <v>1454</v>
      </c>
      <c r="M10" s="78">
        <v>114</v>
      </c>
      <c r="N10" s="78">
        <v>960</v>
      </c>
      <c r="O10" s="78">
        <v>1983</v>
      </c>
    </row>
    <row r="11" spans="2:16" s="1" customFormat="1" ht="14" hidden="1" customHeight="1" outlineLevel="1">
      <c r="B11" s="75" t="s">
        <v>124</v>
      </c>
      <c r="C11" s="106">
        <v>101</v>
      </c>
      <c r="D11" s="169">
        <v>735</v>
      </c>
      <c r="E11" s="78">
        <v>1079</v>
      </c>
      <c r="F11" s="78">
        <v>796</v>
      </c>
      <c r="G11" s="78">
        <v>223</v>
      </c>
      <c r="H11" s="78">
        <v>198</v>
      </c>
      <c r="I11" s="78">
        <v>771</v>
      </c>
      <c r="J11" s="78">
        <v>589</v>
      </c>
      <c r="K11" s="78">
        <f>SUM('[1]SPRAW. Z DOCH. CAŁK.-kwartalnie'!AF11:AI11)</f>
        <v>-83</v>
      </c>
      <c r="L11" s="78">
        <v>1116</v>
      </c>
      <c r="M11" s="78">
        <v>559</v>
      </c>
      <c r="N11" s="78">
        <v>1170</v>
      </c>
      <c r="O11" s="78">
        <v>47</v>
      </c>
    </row>
    <row r="12" spans="2:16" s="1" customFormat="1" ht="14" hidden="1" customHeight="1" outlineLevel="1">
      <c r="B12" s="75" t="s">
        <v>125</v>
      </c>
      <c r="C12" s="107">
        <v>0</v>
      </c>
      <c r="D12" s="113">
        <v>0</v>
      </c>
      <c r="E12" s="78">
        <v>0</v>
      </c>
      <c r="F12" s="78">
        <v>0</v>
      </c>
      <c r="G12" s="78">
        <v>0</v>
      </c>
      <c r="H12" s="78">
        <v>0</v>
      </c>
      <c r="I12" s="78">
        <v>0</v>
      </c>
      <c r="J12" s="78">
        <v>3947</v>
      </c>
      <c r="K12" s="78">
        <f>SUM('[1]SPRAW. Z DOCH. CAŁK.-kwartalnie'!AF12:AI12)</f>
        <v>6884</v>
      </c>
      <c r="L12" s="78">
        <v>5332</v>
      </c>
      <c r="M12" s="78">
        <v>2970</v>
      </c>
      <c r="N12" s="78">
        <v>2518</v>
      </c>
      <c r="O12" s="78">
        <v>1336</v>
      </c>
    </row>
    <row r="13" spans="2:16" s="1" customFormat="1" ht="14" hidden="1" customHeight="1" outlineLevel="1">
      <c r="B13" s="75" t="s">
        <v>126</v>
      </c>
      <c r="C13" s="106">
        <v>78310</v>
      </c>
      <c r="D13" s="169">
        <v>30654</v>
      </c>
      <c r="E13" s="78">
        <v>11050</v>
      </c>
      <c r="F13" s="78">
        <v>3494</v>
      </c>
      <c r="G13" s="78">
        <v>-689</v>
      </c>
      <c r="H13" s="78">
        <v>4988</v>
      </c>
      <c r="I13" s="78">
        <v>1199</v>
      </c>
      <c r="J13" s="78">
        <v>99</v>
      </c>
      <c r="K13" s="78">
        <f>SUM('[1]SPRAW. Z DOCH. CAŁK.-kwartalnie'!AF13:AI13)</f>
        <v>0</v>
      </c>
      <c r="L13" s="78">
        <v>0</v>
      </c>
      <c r="M13" s="78">
        <v>0</v>
      </c>
      <c r="N13" s="78">
        <v>-11</v>
      </c>
      <c r="O13" s="78">
        <v>-30</v>
      </c>
    </row>
    <row r="14" spans="2:16" s="1" customFormat="1" ht="14" hidden="1" customHeight="1" outlineLevel="1">
      <c r="B14" s="75" t="s">
        <v>127</v>
      </c>
      <c r="C14" s="107">
        <v>-17328</v>
      </c>
      <c r="D14" s="113">
        <v>-12629</v>
      </c>
      <c r="E14" s="78">
        <v>-9428</v>
      </c>
      <c r="F14" s="78">
        <v>-5653</v>
      </c>
      <c r="G14" s="78">
        <v>-2700</v>
      </c>
      <c r="H14" s="78">
        <v>-1580</v>
      </c>
      <c r="I14" s="78">
        <v>-300</v>
      </c>
      <c r="J14" s="78">
        <v>-3363</v>
      </c>
      <c r="K14" s="78">
        <f>SUM('[1]SPRAW. Z DOCH. CAŁK.-kwartalnie'!AF14:AI14)</f>
        <v>-3421</v>
      </c>
      <c r="L14" s="78">
        <v>-3531</v>
      </c>
      <c r="M14" s="78">
        <v>-6136</v>
      </c>
      <c r="N14" s="78">
        <v>-6514</v>
      </c>
      <c r="O14" s="78">
        <v>-1864</v>
      </c>
    </row>
    <row r="15" spans="2:16" s="1" customFormat="1" ht="14" hidden="1" customHeight="1" outlineLevel="1">
      <c r="B15" s="75" t="s">
        <v>128</v>
      </c>
      <c r="C15" s="107">
        <v>-51406</v>
      </c>
      <c r="D15" s="113">
        <v>-54623</v>
      </c>
      <c r="E15" s="78">
        <v>-49764</v>
      </c>
      <c r="F15" s="78">
        <v>-38460</v>
      </c>
      <c r="G15" s="78">
        <v>-16279</v>
      </c>
      <c r="H15" s="78">
        <v>-5520</v>
      </c>
      <c r="I15" s="78">
        <v>-638</v>
      </c>
      <c r="J15" s="78">
        <v>-1292</v>
      </c>
      <c r="K15" s="78">
        <f>SUM('[1]SPRAW. Z DOCH. CAŁK.-kwartalnie'!AF15:AI15)</f>
        <v>-5700</v>
      </c>
      <c r="L15" s="78">
        <v>-6365</v>
      </c>
      <c r="M15" s="78">
        <v>-4774</v>
      </c>
      <c r="N15" s="78">
        <v>-4229</v>
      </c>
      <c r="O15" s="78">
        <v>-22769</v>
      </c>
    </row>
    <row r="16" spans="2:16" s="1" customFormat="1" collapsed="1">
      <c r="B16" s="9" t="s">
        <v>103</v>
      </c>
      <c r="C16" s="100">
        <v>77989</v>
      </c>
      <c r="D16" s="168">
        <f t="shared" ref="D16:N16" si="1">SUM(D17:D18)</f>
        <v>58946</v>
      </c>
      <c r="E16" s="77">
        <f t="shared" si="1"/>
        <v>30079</v>
      </c>
      <c r="F16" s="77">
        <f t="shared" si="1"/>
        <v>7705</v>
      </c>
      <c r="G16" s="77">
        <f t="shared" si="1"/>
        <v>0</v>
      </c>
      <c r="H16" s="77">
        <f t="shared" si="1"/>
        <v>0</v>
      </c>
      <c r="I16" s="77">
        <f t="shared" si="1"/>
        <v>0</v>
      </c>
      <c r="J16" s="77">
        <f t="shared" si="1"/>
        <v>0</v>
      </c>
      <c r="K16" s="77">
        <f t="shared" si="1"/>
        <v>0</v>
      </c>
      <c r="L16" s="77">
        <f t="shared" si="1"/>
        <v>0</v>
      </c>
      <c r="M16" s="77">
        <f t="shared" si="1"/>
        <v>0</v>
      </c>
      <c r="N16" s="77">
        <f t="shared" si="1"/>
        <v>0</v>
      </c>
      <c r="O16" s="77">
        <f>SUM(O17:O18)</f>
        <v>0</v>
      </c>
    </row>
    <row r="17" spans="2:17" s="1" customFormat="1" ht="14" hidden="1" customHeight="1" outlineLevel="1">
      <c r="B17" s="75" t="s">
        <v>118</v>
      </c>
      <c r="C17" s="106">
        <v>140129</v>
      </c>
      <c r="D17" s="169">
        <v>105568</v>
      </c>
      <c r="E17" s="78">
        <v>34061</v>
      </c>
      <c r="F17" s="78">
        <v>7705</v>
      </c>
      <c r="G17" s="78">
        <v>0</v>
      </c>
      <c r="H17" s="78">
        <v>0</v>
      </c>
      <c r="I17" s="78">
        <v>0</v>
      </c>
      <c r="J17" s="78">
        <v>0</v>
      </c>
      <c r="K17" s="78">
        <v>0</v>
      </c>
      <c r="L17" s="78">
        <v>0</v>
      </c>
      <c r="M17" s="78">
        <v>0</v>
      </c>
      <c r="N17" s="78">
        <v>0</v>
      </c>
      <c r="O17" s="78">
        <v>0</v>
      </c>
    </row>
    <row r="18" spans="2:17" s="1" customFormat="1" ht="14" hidden="1" customHeight="1" outlineLevel="1">
      <c r="B18" s="75" t="s">
        <v>119</v>
      </c>
      <c r="C18" s="107">
        <v>-62140</v>
      </c>
      <c r="D18" s="113">
        <v>-46622</v>
      </c>
      <c r="E18" s="78">
        <v>-3982</v>
      </c>
      <c r="F18" s="78">
        <v>0</v>
      </c>
      <c r="G18" s="78">
        <v>0</v>
      </c>
      <c r="H18" s="78">
        <v>0</v>
      </c>
      <c r="I18" s="78">
        <v>0</v>
      </c>
      <c r="J18" s="78">
        <v>0</v>
      </c>
      <c r="K18" s="78">
        <v>0</v>
      </c>
      <c r="L18" s="78">
        <v>0</v>
      </c>
      <c r="M18" s="78">
        <v>0</v>
      </c>
      <c r="N18" s="78">
        <v>0</v>
      </c>
      <c r="O18" s="78">
        <v>0</v>
      </c>
    </row>
    <row r="19" spans="2:17" s="1" customFormat="1" collapsed="1">
      <c r="B19" s="9" t="s">
        <v>11</v>
      </c>
      <c r="C19" s="100">
        <v>20287</v>
      </c>
      <c r="D19" s="168">
        <v>12291</v>
      </c>
      <c r="E19" s="11">
        <v>11730</v>
      </c>
      <c r="F19" s="11">
        <v>7020</v>
      </c>
      <c r="G19" s="11">
        <v>5034</v>
      </c>
      <c r="H19" s="11">
        <v>4839</v>
      </c>
      <c r="I19" s="11">
        <v>5629</v>
      </c>
      <c r="J19" s="11">
        <v>6651</v>
      </c>
      <c r="K19" s="11">
        <v>4457</v>
      </c>
      <c r="L19" s="11">
        <v>5284</v>
      </c>
      <c r="M19" s="11">
        <v>5754</v>
      </c>
      <c r="N19" s="11">
        <v>6071</v>
      </c>
      <c r="O19" s="11">
        <v>4992</v>
      </c>
    </row>
    <row r="20" spans="2:17" s="1" customFormat="1">
      <c r="B20" s="9" t="s">
        <v>12</v>
      </c>
      <c r="C20" s="100">
        <v>3198</v>
      </c>
      <c r="D20" s="168">
        <v>1624</v>
      </c>
      <c r="E20" s="11">
        <v>2085</v>
      </c>
      <c r="F20" s="11">
        <v>69</v>
      </c>
      <c r="G20" s="11">
        <v>2108</v>
      </c>
      <c r="H20" s="11">
        <v>123</v>
      </c>
      <c r="I20" s="11">
        <v>569</v>
      </c>
      <c r="J20" s="11">
        <v>177</v>
      </c>
      <c r="K20" s="11">
        <v>122</v>
      </c>
      <c r="L20" s="11">
        <v>76</v>
      </c>
      <c r="M20" s="11">
        <v>2117</v>
      </c>
      <c r="N20" s="11">
        <v>578</v>
      </c>
      <c r="O20" s="11">
        <v>683</v>
      </c>
    </row>
    <row r="21" spans="2:17" s="1" customFormat="1">
      <c r="B21" s="12" t="s">
        <v>25</v>
      </c>
      <c r="C21" s="104">
        <v>2146056</v>
      </c>
      <c r="D21" s="114">
        <f>SUM(D6,D16,D19:D20)</f>
        <v>1873436</v>
      </c>
      <c r="E21" s="76">
        <f t="shared" ref="E21:O21" si="2">SUM(E6,E16,E19:E20)</f>
        <v>1618385</v>
      </c>
      <c r="F21" s="76">
        <f t="shared" si="2"/>
        <v>1451954</v>
      </c>
      <c r="G21" s="76">
        <f t="shared" si="2"/>
        <v>625595</v>
      </c>
      <c r="H21" s="76">
        <f t="shared" si="2"/>
        <v>797750</v>
      </c>
      <c r="I21" s="76">
        <f t="shared" si="2"/>
        <v>239304</v>
      </c>
      <c r="J21" s="76">
        <f t="shared" si="2"/>
        <v>288301</v>
      </c>
      <c r="K21" s="76">
        <f t="shared" si="2"/>
        <v>273767</v>
      </c>
      <c r="L21" s="76">
        <f t="shared" si="2"/>
        <v>250576</v>
      </c>
      <c r="M21" s="76">
        <f t="shared" si="2"/>
        <v>282542</v>
      </c>
      <c r="N21" s="76">
        <f t="shared" si="2"/>
        <v>204434</v>
      </c>
      <c r="O21" s="76">
        <f t="shared" si="2"/>
        <v>215559</v>
      </c>
    </row>
    <row r="22" spans="2:17" s="1" customFormat="1" ht="7.5" customHeight="1">
      <c r="B22" s="9"/>
      <c r="C22" s="101"/>
      <c r="D22" s="170"/>
      <c r="E22" s="9"/>
      <c r="F22" s="9"/>
      <c r="G22" s="9"/>
      <c r="H22" s="9"/>
      <c r="I22" s="9"/>
      <c r="J22" s="11"/>
      <c r="K22" s="11"/>
      <c r="L22" s="11"/>
      <c r="M22" s="11"/>
      <c r="N22" s="11"/>
      <c r="O22" s="11"/>
    </row>
    <row r="23" spans="2:17" s="1" customFormat="1">
      <c r="B23" s="9" t="s">
        <v>0</v>
      </c>
      <c r="C23" s="102">
        <v>-584898</v>
      </c>
      <c r="D23" s="171">
        <v>-344808</v>
      </c>
      <c r="E23" s="11">
        <v>-263924</v>
      </c>
      <c r="F23" s="11">
        <v>-222369</v>
      </c>
      <c r="G23" s="11">
        <v>-120101</v>
      </c>
      <c r="H23" s="11">
        <v>-87731</v>
      </c>
      <c r="I23" s="11">
        <v>-37716</v>
      </c>
      <c r="J23" s="11">
        <v>-33322</v>
      </c>
      <c r="K23" s="11">
        <v>-24841</v>
      </c>
      <c r="L23" s="11">
        <v>-49338</v>
      </c>
      <c r="M23" s="11">
        <v>-28181</v>
      </c>
      <c r="N23" s="11">
        <v>-23584</v>
      </c>
      <c r="O23" s="11">
        <v>-19176</v>
      </c>
    </row>
    <row r="24" spans="2:17" s="1" customFormat="1">
      <c r="B24" s="9" t="s">
        <v>13</v>
      </c>
      <c r="C24" s="102">
        <v>-413019</v>
      </c>
      <c r="D24" s="171">
        <v>-311574</v>
      </c>
      <c r="E24" s="11">
        <v>-259140</v>
      </c>
      <c r="F24" s="11">
        <v>-192027</v>
      </c>
      <c r="G24" s="11">
        <v>-131262</v>
      </c>
      <c r="H24" s="11">
        <v>-119141</v>
      </c>
      <c r="I24" s="11">
        <v>-86024</v>
      </c>
      <c r="J24" s="11">
        <v>-78478</v>
      </c>
      <c r="K24" s="11">
        <v>-73150</v>
      </c>
      <c r="L24" s="11">
        <v>-71864</v>
      </c>
      <c r="M24" s="11">
        <v>-68127</v>
      </c>
      <c r="N24" s="11">
        <v>-54994</v>
      </c>
      <c r="O24" s="11">
        <v>-49295</v>
      </c>
      <c r="Q24" s="14"/>
    </row>
    <row r="25" spans="2:17" s="1" customFormat="1">
      <c r="B25" s="9" t="s">
        <v>100</v>
      </c>
      <c r="C25" s="102">
        <v>-107415</v>
      </c>
      <c r="D25" s="171">
        <v>-97289</v>
      </c>
      <c r="E25" s="11">
        <v>-61816</v>
      </c>
      <c r="F25" s="11">
        <v>-54365</v>
      </c>
      <c r="G25" s="11">
        <v>-36187</v>
      </c>
      <c r="H25" s="11">
        <v>-22539</v>
      </c>
      <c r="I25" s="11">
        <v>-8329</v>
      </c>
      <c r="J25" s="11">
        <v>-7627</v>
      </c>
      <c r="K25" s="11">
        <v>-5964</v>
      </c>
      <c r="L25" s="11">
        <v>-4182</v>
      </c>
      <c r="M25" s="11">
        <v>-3915</v>
      </c>
      <c r="N25" s="11">
        <v>-3914</v>
      </c>
      <c r="O25" s="11">
        <v>-3588</v>
      </c>
    </row>
    <row r="26" spans="2:17" s="1" customFormat="1">
      <c r="B26" s="9" t="s">
        <v>14</v>
      </c>
      <c r="C26" s="102">
        <v>-132846</v>
      </c>
      <c r="D26" s="171">
        <v>-79226</v>
      </c>
      <c r="E26" s="11">
        <v>-64141</v>
      </c>
      <c r="F26" s="11">
        <v>-49967</v>
      </c>
      <c r="G26" s="11">
        <v>-38434</v>
      </c>
      <c r="H26" s="11">
        <v>-29443</v>
      </c>
      <c r="I26" s="11">
        <v>-24638</v>
      </c>
      <c r="J26" s="11">
        <v>-24909</v>
      </c>
      <c r="K26" s="11">
        <v>-21943</v>
      </c>
      <c r="L26" s="11">
        <v>-20620</v>
      </c>
      <c r="M26" s="11">
        <v>-18660</v>
      </c>
      <c r="N26" s="11">
        <v>-17553</v>
      </c>
      <c r="O26" s="11">
        <v>-20276</v>
      </c>
    </row>
    <row r="27" spans="2:17" s="1" customFormat="1">
      <c r="B27" s="9" t="s">
        <v>16</v>
      </c>
      <c r="C27" s="102">
        <v>-25405</v>
      </c>
      <c r="D27" s="171">
        <v>-19905</v>
      </c>
      <c r="E27" s="11">
        <v>-17197</v>
      </c>
      <c r="F27" s="11">
        <v>-11997</v>
      </c>
      <c r="G27" s="11">
        <v>-8921</v>
      </c>
      <c r="H27" s="11">
        <v>-7753</v>
      </c>
      <c r="I27" s="11">
        <v>-6753</v>
      </c>
      <c r="J27" s="11">
        <v>-3931</v>
      </c>
      <c r="K27" s="11">
        <v>-6054</v>
      </c>
      <c r="L27" s="11">
        <v>-5423</v>
      </c>
      <c r="M27" s="11">
        <v>-5804</v>
      </c>
      <c r="N27" s="11">
        <v>-5746</v>
      </c>
      <c r="O27" s="11">
        <v>-3888</v>
      </c>
    </row>
    <row r="28" spans="2:17" s="1" customFormat="1">
      <c r="B28" s="9" t="s">
        <v>64</v>
      </c>
      <c r="C28" s="102">
        <v>-15955</v>
      </c>
      <c r="D28" s="171">
        <v>-13109</v>
      </c>
      <c r="E28" s="11">
        <v>-9712</v>
      </c>
      <c r="F28" s="11">
        <v>-8614</v>
      </c>
      <c r="G28" s="11">
        <v>-5373</v>
      </c>
      <c r="H28" s="11">
        <v>-3723</v>
      </c>
      <c r="I28" s="11">
        <v>-2950</v>
      </c>
      <c r="J28" s="11">
        <v>-2340</v>
      </c>
      <c r="K28" s="11">
        <v>-2059</v>
      </c>
      <c r="L28" s="11">
        <v>-2597</v>
      </c>
      <c r="M28" s="11">
        <v>-1824</v>
      </c>
      <c r="N28" s="11">
        <v>-1933</v>
      </c>
      <c r="O28" s="11">
        <v>-724</v>
      </c>
    </row>
    <row r="29" spans="2:17" s="1" customFormat="1">
      <c r="B29" s="9" t="s">
        <v>15</v>
      </c>
      <c r="C29" s="102">
        <v>-10559</v>
      </c>
      <c r="D29" s="171">
        <v>-7999</v>
      </c>
      <c r="E29" s="11">
        <v>-7528</v>
      </c>
      <c r="F29" s="11">
        <v>-7668</v>
      </c>
      <c r="G29" s="11">
        <v>-4407</v>
      </c>
      <c r="H29" s="11">
        <v>-3788</v>
      </c>
      <c r="I29" s="11">
        <v>-3158</v>
      </c>
      <c r="J29" s="11">
        <v>-7815</v>
      </c>
      <c r="K29" s="11">
        <v>-7934</v>
      </c>
      <c r="L29" s="11">
        <v>-8698</v>
      </c>
      <c r="M29" s="11">
        <v>-7898</v>
      </c>
      <c r="N29" s="11">
        <v>-6815</v>
      </c>
      <c r="O29" s="11">
        <v>-6520</v>
      </c>
    </row>
    <row r="30" spans="2:17" s="1" customFormat="1">
      <c r="B30" s="9" t="s">
        <v>17</v>
      </c>
      <c r="C30" s="102">
        <v>-23580</v>
      </c>
      <c r="D30" s="171">
        <v>-12791</v>
      </c>
      <c r="E30" s="11">
        <v>-10773</v>
      </c>
      <c r="F30" s="11">
        <v>-11560</v>
      </c>
      <c r="G30" s="11">
        <v>-4087</v>
      </c>
      <c r="H30" s="11">
        <v>-7886</v>
      </c>
      <c r="I30" s="11">
        <v>-4324</v>
      </c>
      <c r="J30" s="11">
        <v>-14070</v>
      </c>
      <c r="K30" s="11">
        <v>-3552</v>
      </c>
      <c r="L30" s="11">
        <v>-5739</v>
      </c>
      <c r="M30" s="11">
        <v>-7063</v>
      </c>
      <c r="N30" s="11">
        <v>-3517</v>
      </c>
      <c r="O30" s="11">
        <v>-5825</v>
      </c>
    </row>
    <row r="31" spans="2:17" s="1" customFormat="1">
      <c r="B31" s="12" t="s">
        <v>18</v>
      </c>
      <c r="C31" s="104">
        <v>-1313677</v>
      </c>
      <c r="D31" s="13">
        <f>SUM(D23:D30)</f>
        <v>-886701</v>
      </c>
      <c r="E31" s="13">
        <f>SUM(E23:E30)</f>
        <v>-694231</v>
      </c>
      <c r="F31" s="13">
        <f>SUM(F23:F30)</f>
        <v>-558567</v>
      </c>
      <c r="G31" s="13">
        <f>SUM(G23:G30)</f>
        <v>-348772</v>
      </c>
      <c r="H31" s="13">
        <f t="shared" ref="H31:O31" si="3">SUM(H23:H30)</f>
        <v>-282004</v>
      </c>
      <c r="I31" s="13">
        <f t="shared" si="3"/>
        <v>-173892</v>
      </c>
      <c r="J31" s="13">
        <f t="shared" si="3"/>
        <v>-172492</v>
      </c>
      <c r="K31" s="13">
        <f t="shared" si="3"/>
        <v>-145497</v>
      </c>
      <c r="L31" s="13">
        <f t="shared" si="3"/>
        <v>-168461</v>
      </c>
      <c r="M31" s="13">
        <f t="shared" si="3"/>
        <v>-141472</v>
      </c>
      <c r="N31" s="13">
        <f t="shared" si="3"/>
        <v>-118056</v>
      </c>
      <c r="O31" s="13">
        <f t="shared" si="3"/>
        <v>-109292</v>
      </c>
    </row>
    <row r="32" spans="2:17" s="1" customFormat="1">
      <c r="B32" s="12" t="s">
        <v>19</v>
      </c>
      <c r="C32" s="104">
        <v>832379</v>
      </c>
      <c r="D32" s="13">
        <f t="shared" ref="D32" si="4">SUM(D21,D31:D31)</f>
        <v>986735</v>
      </c>
      <c r="E32" s="13">
        <f t="shared" ref="E32" si="5">SUM(E21,E31:E31)</f>
        <v>924154</v>
      </c>
      <c r="F32" s="13">
        <f t="shared" ref="F32:O32" si="6">SUM(F21,F31:F31)</f>
        <v>893387</v>
      </c>
      <c r="G32" s="13">
        <f t="shared" si="6"/>
        <v>276823</v>
      </c>
      <c r="H32" s="13">
        <f t="shared" si="6"/>
        <v>515746</v>
      </c>
      <c r="I32" s="13">
        <f t="shared" si="6"/>
        <v>65412</v>
      </c>
      <c r="J32" s="13">
        <f t="shared" si="6"/>
        <v>115809</v>
      </c>
      <c r="K32" s="13">
        <f t="shared" si="6"/>
        <v>128270</v>
      </c>
      <c r="L32" s="13">
        <f t="shared" si="6"/>
        <v>82115</v>
      </c>
      <c r="M32" s="13">
        <f t="shared" si="6"/>
        <v>141070</v>
      </c>
      <c r="N32" s="13">
        <f t="shared" si="6"/>
        <v>86378</v>
      </c>
      <c r="O32" s="13">
        <f t="shared" si="6"/>
        <v>106267</v>
      </c>
    </row>
    <row r="33" spans="2:15" s="1" customFormat="1">
      <c r="B33" s="15" t="s">
        <v>20</v>
      </c>
      <c r="C33" s="105">
        <v>0</v>
      </c>
      <c r="D33" s="170" t="s">
        <v>115</v>
      </c>
      <c r="E33" s="11">
        <v>0</v>
      </c>
      <c r="F33" s="11">
        <v>0</v>
      </c>
      <c r="G33" s="11">
        <v>0</v>
      </c>
      <c r="H33" s="11">
        <v>0</v>
      </c>
      <c r="I33" s="11">
        <v>0</v>
      </c>
      <c r="J33" s="16">
        <v>0</v>
      </c>
      <c r="K33" s="16">
        <v>-5612</v>
      </c>
      <c r="L33" s="16">
        <v>0</v>
      </c>
      <c r="M33" s="16">
        <v>0</v>
      </c>
      <c r="N33" s="16">
        <v>0</v>
      </c>
      <c r="O33" s="16">
        <v>0</v>
      </c>
    </row>
    <row r="34" spans="2:15" s="1" customFormat="1">
      <c r="B34" s="9" t="s">
        <v>21</v>
      </c>
      <c r="C34" s="100">
        <v>39603</v>
      </c>
      <c r="D34" s="168">
        <v>62845</v>
      </c>
      <c r="E34" s="11">
        <v>71958</v>
      </c>
      <c r="F34" s="11">
        <v>42868</v>
      </c>
      <c r="G34" s="11">
        <v>17891</v>
      </c>
      <c r="H34" s="11">
        <v>5857</v>
      </c>
      <c r="I34" s="11">
        <v>5901</v>
      </c>
      <c r="J34" s="11">
        <v>9083</v>
      </c>
      <c r="K34" s="11">
        <v>6318</v>
      </c>
      <c r="L34" s="11">
        <v>12122</v>
      </c>
      <c r="M34" s="11">
        <v>10444</v>
      </c>
      <c r="N34" s="11">
        <v>11853</v>
      </c>
      <c r="O34" s="11">
        <v>5442</v>
      </c>
    </row>
    <row r="35" spans="2:15" s="1" customFormat="1">
      <c r="B35" s="9" t="s">
        <v>93</v>
      </c>
      <c r="C35" s="102">
        <v>-94594</v>
      </c>
      <c r="D35" s="171">
        <v>-1129</v>
      </c>
      <c r="E35" s="11">
        <v>-35898</v>
      </c>
      <c r="F35" s="11">
        <v>-997</v>
      </c>
      <c r="G35" s="11">
        <v>-4258</v>
      </c>
      <c r="H35" s="11">
        <v>-22906</v>
      </c>
      <c r="I35" s="11">
        <v>-1877</v>
      </c>
      <c r="J35" s="11">
        <v>-221</v>
      </c>
      <c r="K35" s="11">
        <v>-14291</v>
      </c>
      <c r="L35" s="11">
        <v>-955</v>
      </c>
      <c r="M35" s="11">
        <v>-3146</v>
      </c>
      <c r="N35" s="11">
        <v>-1203</v>
      </c>
      <c r="O35" s="11">
        <v>-5346</v>
      </c>
    </row>
    <row r="36" spans="2:15" s="19" customFormat="1" ht="24.5">
      <c r="B36" s="17" t="s">
        <v>91</v>
      </c>
      <c r="C36" s="103">
        <v>0</v>
      </c>
      <c r="D36" s="172" t="s">
        <v>115</v>
      </c>
      <c r="E36" s="18">
        <v>0</v>
      </c>
      <c r="F36" s="18">
        <v>0</v>
      </c>
      <c r="G36" s="18">
        <v>0</v>
      </c>
      <c r="H36" s="18">
        <v>-21880</v>
      </c>
      <c r="I36" s="18">
        <v>0</v>
      </c>
      <c r="J36" s="18">
        <v>0</v>
      </c>
      <c r="K36" s="18">
        <v>0</v>
      </c>
      <c r="L36" s="18">
        <v>0</v>
      </c>
      <c r="M36" s="18">
        <v>0</v>
      </c>
      <c r="N36" s="18">
        <v>0</v>
      </c>
      <c r="O36" s="18">
        <v>0</v>
      </c>
    </row>
    <row r="37" spans="2:15" s="1" customFormat="1">
      <c r="B37" s="12" t="s">
        <v>22</v>
      </c>
      <c r="C37" s="104">
        <v>777388</v>
      </c>
      <c r="D37" s="13">
        <f>SUM(D32:D35)</f>
        <v>1048451</v>
      </c>
      <c r="E37" s="13">
        <f>SUM(E32:E35)</f>
        <v>960214</v>
      </c>
      <c r="F37" s="13">
        <f>SUM(F32:F35)</f>
        <v>935258</v>
      </c>
      <c r="G37" s="13">
        <f>SUM(G32:G35)</f>
        <v>290456</v>
      </c>
      <c r="H37" s="13">
        <f>SUM(H32:H35)</f>
        <v>498697</v>
      </c>
      <c r="I37" s="13">
        <f t="shared" ref="I37:O37" si="7">SUM(I32:I35)</f>
        <v>69436</v>
      </c>
      <c r="J37" s="13">
        <f t="shared" si="7"/>
        <v>124671</v>
      </c>
      <c r="K37" s="13">
        <f t="shared" si="7"/>
        <v>114685</v>
      </c>
      <c r="L37" s="13">
        <f t="shared" si="7"/>
        <v>93282</v>
      </c>
      <c r="M37" s="13">
        <f t="shared" si="7"/>
        <v>148368</v>
      </c>
      <c r="N37" s="13">
        <f t="shared" si="7"/>
        <v>97028</v>
      </c>
      <c r="O37" s="13">
        <f t="shared" si="7"/>
        <v>106363</v>
      </c>
    </row>
    <row r="38" spans="2:15" s="1" customFormat="1">
      <c r="B38" s="9" t="s">
        <v>23</v>
      </c>
      <c r="C38" s="102">
        <v>-133189</v>
      </c>
      <c r="D38" s="171">
        <v>-191595</v>
      </c>
      <c r="E38" s="11">
        <v>-169071</v>
      </c>
      <c r="F38" s="11">
        <v>-169162</v>
      </c>
      <c r="G38" s="11">
        <v>-52626</v>
      </c>
      <c r="H38" s="11">
        <v>-96610</v>
      </c>
      <c r="I38" s="11">
        <v>-11735</v>
      </c>
      <c r="J38" s="11">
        <v>-23200</v>
      </c>
      <c r="K38" s="11">
        <v>-21712</v>
      </c>
      <c r="L38" s="11">
        <v>-15575</v>
      </c>
      <c r="M38" s="11">
        <v>-29333</v>
      </c>
      <c r="N38" s="11">
        <v>-19964</v>
      </c>
      <c r="O38" s="11">
        <v>-24431</v>
      </c>
    </row>
    <row r="39" spans="2:15" s="1" customFormat="1">
      <c r="B39" s="12" t="s">
        <v>24</v>
      </c>
      <c r="C39" s="104">
        <v>644199</v>
      </c>
      <c r="D39" s="13">
        <f t="shared" ref="D39" si="8">SUM(D37:D38)</f>
        <v>856856</v>
      </c>
      <c r="E39" s="13">
        <f t="shared" ref="E39" si="9">SUM(E37:E38)</f>
        <v>791143</v>
      </c>
      <c r="F39" s="13">
        <f t="shared" ref="F39" si="10">SUM(F37:F38)</f>
        <v>766096</v>
      </c>
      <c r="G39" s="13">
        <f t="shared" ref="G39:H39" si="11">SUM(G37:G38)</f>
        <v>237830</v>
      </c>
      <c r="H39" s="13">
        <f t="shared" si="11"/>
        <v>402087</v>
      </c>
      <c r="I39" s="13">
        <f t="shared" ref="I39" si="12">SUM(I37:I38)</f>
        <v>57701</v>
      </c>
      <c r="J39" s="13">
        <f t="shared" ref="J39:K39" si="13">SUM(J37:J38)</f>
        <v>101471</v>
      </c>
      <c r="K39" s="13">
        <f t="shared" si="13"/>
        <v>92973</v>
      </c>
      <c r="L39" s="13">
        <f t="shared" ref="L39" si="14">SUM(L37:L38)</f>
        <v>77707</v>
      </c>
      <c r="M39" s="13">
        <f>SUM(M37:M38)</f>
        <v>119035</v>
      </c>
      <c r="N39" s="13">
        <f>SUM(N37:N38)</f>
        <v>77064</v>
      </c>
      <c r="O39" s="13">
        <f>SUM(O37:O38)</f>
        <v>81932</v>
      </c>
    </row>
    <row r="40" spans="2:15" s="19" customFormat="1" ht="14.5">
      <c r="B40" s="74" t="s">
        <v>114</v>
      </c>
      <c r="C40" s="103">
        <v>644194</v>
      </c>
      <c r="D40" s="18">
        <v>857025</v>
      </c>
      <c r="E40" s="18">
        <v>791173</v>
      </c>
      <c r="F40" s="18">
        <v>766096</v>
      </c>
      <c r="G40" s="18">
        <v>237830</v>
      </c>
      <c r="H40" s="18">
        <v>402087</v>
      </c>
      <c r="I40" s="18">
        <v>57701</v>
      </c>
      <c r="J40" s="18">
        <v>101471</v>
      </c>
      <c r="K40" s="18">
        <v>92973</v>
      </c>
      <c r="L40" s="18">
        <v>77707</v>
      </c>
      <c r="M40" s="18">
        <v>119035</v>
      </c>
      <c r="N40" s="18">
        <v>77064</v>
      </c>
      <c r="O40" s="18">
        <v>81932</v>
      </c>
    </row>
    <row r="41" spans="2:15" s="19" customFormat="1" ht="14.5">
      <c r="B41" s="74" t="s">
        <v>106</v>
      </c>
      <c r="C41" s="103">
        <v>5</v>
      </c>
      <c r="D41" s="18">
        <v>-169</v>
      </c>
      <c r="E41" s="18">
        <v>0</v>
      </c>
      <c r="F41" s="18">
        <v>0</v>
      </c>
      <c r="G41" s="18">
        <v>0</v>
      </c>
      <c r="H41" s="18">
        <v>0</v>
      </c>
      <c r="I41" s="18">
        <v>0</v>
      </c>
      <c r="J41" s="18">
        <v>0</v>
      </c>
      <c r="K41" s="18">
        <v>0</v>
      </c>
      <c r="L41" s="18">
        <v>0</v>
      </c>
      <c r="M41" s="18">
        <v>0</v>
      </c>
      <c r="N41" s="18">
        <v>0</v>
      </c>
      <c r="O41" s="18">
        <v>0</v>
      </c>
    </row>
    <row r="42" spans="2:15" s="1" customFormat="1" ht="7.5" customHeight="1">
      <c r="B42" s="20"/>
      <c r="C42" s="20"/>
      <c r="D42" s="20"/>
      <c r="E42" s="20"/>
      <c r="F42" s="20"/>
      <c r="G42" s="20"/>
      <c r="H42" s="20"/>
      <c r="I42" s="20"/>
      <c r="J42" s="21"/>
      <c r="K42" s="21"/>
      <c r="L42" s="21"/>
      <c r="M42" s="21"/>
      <c r="N42" s="21"/>
      <c r="O42" s="20"/>
    </row>
    <row r="43" spans="2:15" s="1" customFormat="1" ht="14.25" customHeight="1">
      <c r="B43" s="22" t="s">
        <v>9</v>
      </c>
      <c r="C43" s="22"/>
      <c r="D43" s="22"/>
      <c r="E43" s="22"/>
      <c r="F43" s="22"/>
      <c r="G43" s="22"/>
      <c r="H43" s="22"/>
      <c r="I43" s="23"/>
      <c r="J43" s="22"/>
      <c r="K43" s="22"/>
      <c r="L43" s="22"/>
      <c r="M43" s="21"/>
      <c r="N43" s="21"/>
    </row>
    <row r="44" spans="2:15" s="1" customFormat="1"/>
    <row r="45" spans="2:15" s="1" customFormat="1" ht="18">
      <c r="B45" s="82" t="s">
        <v>129</v>
      </c>
      <c r="C45" s="82"/>
    </row>
    <row r="46" spans="2:15" ht="5.25" customHeight="1">
      <c r="B46" s="164" t="s">
        <v>58</v>
      </c>
      <c r="C46" s="96"/>
      <c r="D46" s="4"/>
      <c r="E46" s="4"/>
      <c r="F46" s="3"/>
      <c r="G46" s="3"/>
      <c r="H46" s="3"/>
      <c r="I46" s="3"/>
      <c r="J46" s="3"/>
      <c r="K46" s="3"/>
      <c r="L46" s="166"/>
      <c r="M46" s="166"/>
      <c r="N46" s="166"/>
      <c r="O46" s="166"/>
    </row>
    <row r="47" spans="2:15" ht="23">
      <c r="B47" s="165"/>
      <c r="C47" s="108" t="s">
        <v>154</v>
      </c>
      <c r="D47" s="6" t="s">
        <v>113</v>
      </c>
      <c r="E47" s="6" t="s">
        <v>101</v>
      </c>
      <c r="F47" s="6" t="s">
        <v>102</v>
      </c>
      <c r="G47" s="7" t="s">
        <v>98</v>
      </c>
      <c r="H47" s="7" t="s">
        <v>90</v>
      </c>
      <c r="I47" s="7" t="s">
        <v>86</v>
      </c>
      <c r="J47" s="7" t="s">
        <v>63</v>
      </c>
      <c r="K47" s="7" t="s">
        <v>59</v>
      </c>
      <c r="L47" s="7" t="s">
        <v>4</v>
      </c>
      <c r="M47" s="8" t="s">
        <v>1</v>
      </c>
      <c r="N47" s="8" t="s">
        <v>2</v>
      </c>
      <c r="O47" s="8" t="s">
        <v>3</v>
      </c>
    </row>
    <row r="48" spans="2:15" s="1" customFormat="1">
      <c r="B48" s="79" t="s">
        <v>131</v>
      </c>
      <c r="C48" s="109">
        <v>1447904</v>
      </c>
      <c r="D48" s="112">
        <v>1226502</v>
      </c>
      <c r="E48" s="77">
        <v>983343</v>
      </c>
      <c r="F48" s="77">
        <v>849867</v>
      </c>
      <c r="G48" s="77">
        <v>327289</v>
      </c>
      <c r="H48" s="77">
        <v>404414</v>
      </c>
      <c r="I48" s="77">
        <v>121334</v>
      </c>
      <c r="J48" s="77">
        <v>140494</v>
      </c>
      <c r="K48" s="77">
        <v>131423</v>
      </c>
      <c r="L48" s="77">
        <v>128915</v>
      </c>
      <c r="M48" s="77">
        <v>143352</v>
      </c>
      <c r="N48" s="77">
        <v>114538</v>
      </c>
      <c r="O48" s="77">
        <v>117332</v>
      </c>
    </row>
    <row r="49" spans="2:15" s="1" customFormat="1">
      <c r="B49" s="75" t="s">
        <v>132</v>
      </c>
      <c r="C49" s="110">
        <v>1168350</v>
      </c>
      <c r="D49" s="113">
        <v>986531</v>
      </c>
      <c r="E49" s="78">
        <v>756104</v>
      </c>
      <c r="F49" s="78">
        <v>605706</v>
      </c>
      <c r="G49" s="78">
        <v>209804</v>
      </c>
      <c r="H49" s="78">
        <v>295148</v>
      </c>
      <c r="I49" s="78">
        <v>95390</v>
      </c>
      <c r="J49" s="78">
        <v>72525</v>
      </c>
      <c r="K49" s="78">
        <v>78332</v>
      </c>
      <c r="L49" s="78">
        <v>80008</v>
      </c>
      <c r="M49" s="78">
        <v>89025</v>
      </c>
      <c r="N49" s="78">
        <v>72837</v>
      </c>
      <c r="O49" s="78">
        <v>74875</v>
      </c>
    </row>
    <row r="50" spans="2:15" s="1" customFormat="1">
      <c r="B50" s="79" t="s">
        <v>133</v>
      </c>
      <c r="C50" s="109">
        <v>387409</v>
      </c>
      <c r="D50" s="112">
        <v>355868</v>
      </c>
      <c r="E50" s="77">
        <v>369588</v>
      </c>
      <c r="F50" s="77">
        <v>356201</v>
      </c>
      <c r="G50" s="77">
        <v>165349</v>
      </c>
      <c r="H50" s="77">
        <v>303177</v>
      </c>
      <c r="I50" s="77">
        <v>90934</v>
      </c>
      <c r="J50" s="77">
        <v>124488</v>
      </c>
      <c r="K50" s="77">
        <v>128564</v>
      </c>
      <c r="L50" s="77">
        <v>105986</v>
      </c>
      <c r="M50" s="77">
        <v>116516</v>
      </c>
      <c r="N50" s="77">
        <v>84043</v>
      </c>
      <c r="O50" s="77">
        <v>69075</v>
      </c>
    </row>
    <row r="51" spans="2:15" s="1" customFormat="1">
      <c r="B51" s="79" t="s">
        <v>149</v>
      </c>
      <c r="C51" s="109">
        <v>128259</v>
      </c>
      <c r="D51" s="112">
        <v>117930</v>
      </c>
      <c r="E51" s="77">
        <v>147695</v>
      </c>
      <c r="F51" s="77">
        <v>197251</v>
      </c>
      <c r="G51" s="77">
        <v>127745</v>
      </c>
      <c r="H51" s="77">
        <v>90159</v>
      </c>
      <c r="I51" s="77">
        <v>27036</v>
      </c>
      <c r="J51" s="77">
        <v>23319</v>
      </c>
      <c r="K51" s="77">
        <v>13780</v>
      </c>
      <c r="L51" s="77">
        <v>15675</v>
      </c>
      <c r="M51" s="77">
        <v>22674</v>
      </c>
      <c r="N51" s="77">
        <v>5853</v>
      </c>
      <c r="O51" s="77">
        <v>29152</v>
      </c>
    </row>
    <row r="52" spans="2:15" s="1" customFormat="1">
      <c r="B52" s="79" t="s">
        <v>134</v>
      </c>
      <c r="C52" s="109">
        <v>182480</v>
      </c>
      <c r="D52" s="112">
        <v>173128</v>
      </c>
      <c r="E52" s="77">
        <v>117759</v>
      </c>
      <c r="F52" s="77">
        <v>48635</v>
      </c>
      <c r="G52" s="77">
        <v>5212</v>
      </c>
      <c r="H52" s="77">
        <v>0</v>
      </c>
      <c r="I52" s="77">
        <v>0</v>
      </c>
      <c r="J52" s="77">
        <v>0</v>
      </c>
      <c r="K52" s="77">
        <v>0</v>
      </c>
      <c r="L52" s="77">
        <v>0</v>
      </c>
      <c r="M52" s="77">
        <v>0</v>
      </c>
      <c r="N52" s="77">
        <v>0</v>
      </c>
      <c r="O52" s="77">
        <v>0</v>
      </c>
    </row>
    <row r="53" spans="2:15" s="1" customFormat="1">
      <c r="B53" s="79" t="s">
        <v>135</v>
      </c>
      <c r="C53" s="109">
        <v>4</v>
      </c>
      <c r="D53" s="112">
        <v>8</v>
      </c>
      <c r="E53" s="77">
        <v>0</v>
      </c>
      <c r="F53" s="77">
        <v>0</v>
      </c>
      <c r="G53" s="77">
        <v>0</v>
      </c>
      <c r="H53" s="77">
        <v>0</v>
      </c>
      <c r="I53" s="77">
        <v>0</v>
      </c>
      <c r="J53" s="77">
        <v>0</v>
      </c>
      <c r="K53" s="77">
        <v>0</v>
      </c>
      <c r="L53" s="77">
        <v>0</v>
      </c>
      <c r="M53" s="77">
        <v>0</v>
      </c>
      <c r="N53" s="77">
        <v>0</v>
      </c>
      <c r="O53" s="77">
        <v>0</v>
      </c>
    </row>
    <row r="54" spans="2:15" s="1" customFormat="1">
      <c r="B54" s="80" t="s">
        <v>130</v>
      </c>
      <c r="C54" s="111">
        <v>2146056</v>
      </c>
      <c r="D54" s="114">
        <v>1873436</v>
      </c>
      <c r="E54" s="76">
        <f t="shared" ref="E54:O54" si="15">SUM(E48,E50:E53)</f>
        <v>1618385</v>
      </c>
      <c r="F54" s="76">
        <f t="shared" si="15"/>
        <v>1451954</v>
      </c>
      <c r="G54" s="76">
        <f t="shared" si="15"/>
        <v>625595</v>
      </c>
      <c r="H54" s="76">
        <f t="shared" si="15"/>
        <v>797750</v>
      </c>
      <c r="I54" s="76">
        <f t="shared" si="15"/>
        <v>239304</v>
      </c>
      <c r="J54" s="76">
        <f t="shared" si="15"/>
        <v>288301</v>
      </c>
      <c r="K54" s="76">
        <f t="shared" si="15"/>
        <v>273767</v>
      </c>
      <c r="L54" s="76">
        <f t="shared" si="15"/>
        <v>250576</v>
      </c>
      <c r="M54" s="76">
        <f t="shared" si="15"/>
        <v>282542</v>
      </c>
      <c r="N54" s="76">
        <f t="shared" si="15"/>
        <v>204434</v>
      </c>
      <c r="O54" s="76">
        <f t="shared" si="15"/>
        <v>215559</v>
      </c>
    </row>
    <row r="55" spans="2:15" s="1" customFormat="1" ht="7.5" customHeight="1"/>
    <row r="56" spans="2:15" s="1" customFormat="1">
      <c r="B56" s="22" t="s">
        <v>9</v>
      </c>
      <c r="C56" s="22"/>
    </row>
    <row r="57" spans="2:15" s="1" customFormat="1">
      <c r="B57" s="81" t="s">
        <v>136</v>
      </c>
      <c r="C57" s="81"/>
    </row>
    <row r="58" spans="2:15" s="1" customFormat="1">
      <c r="B58" s="81" t="s">
        <v>160</v>
      </c>
      <c r="C58" s="81"/>
    </row>
    <row r="59" spans="2:15" s="1" customFormat="1"/>
    <row r="60" spans="2:15" s="1" customFormat="1"/>
    <row r="61" spans="2:15" s="1" customFormat="1"/>
    <row r="62" spans="2:15" s="1" customFormat="1"/>
    <row r="63" spans="2:15" s="1" customFormat="1"/>
    <row r="64" spans="2: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sheetData>
  <mergeCells count="5">
    <mergeCell ref="B1:O2"/>
    <mergeCell ref="B4:B5"/>
    <mergeCell ref="L4:O4"/>
    <mergeCell ref="B46:B47"/>
    <mergeCell ref="L46:O46"/>
  </mergeCells>
  <pageMargins left="0.70866141732283472" right="0.70866141732283472" top="0.74803149606299213" bottom="0.74803149606299213" header="0.31496062992125984" footer="0.31496062992125984"/>
  <pageSetup paperSize="9" scale="57" orientation="portrait" r:id="rId1"/>
  <colBreaks count="2" manualBreakCount="2">
    <brk id="12" min="4" max="44" man="1"/>
    <brk id="13" min="4"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Z5698"/>
  <sheetViews>
    <sheetView zoomScaleNormal="100" workbookViewId="0">
      <pane xSplit="2" ySplit="5" topLeftCell="C43" activePane="bottomRight" state="frozen"/>
      <selection pane="topRight" activeCell="C1" sqref="C1"/>
      <selection pane="bottomLeft" activeCell="A6" sqref="A6"/>
      <selection pane="bottomRight" activeCell="D44" sqref="D35:D44"/>
    </sheetView>
  </sheetViews>
  <sheetFormatPr defaultColWidth="8.7265625" defaultRowHeight="14"/>
  <cols>
    <col min="1" max="1" width="1.453125" style="1" customWidth="1"/>
    <col min="2" max="2" width="59.453125" style="5" customWidth="1"/>
    <col min="3" max="3" width="13.453125" style="5" customWidth="1"/>
    <col min="4" max="15" width="12.453125" style="5" customWidth="1"/>
    <col min="16" max="858" width="9.1796875" style="1" customWidth="1"/>
    <col min="859" max="16384" width="8.7265625" style="5"/>
  </cols>
  <sheetData>
    <row r="1" spans="2:15" s="1" customFormat="1" ht="15" customHeight="1">
      <c r="B1" s="163" t="s">
        <v>109</v>
      </c>
      <c r="C1" s="163"/>
      <c r="D1" s="163"/>
      <c r="E1" s="163"/>
      <c r="F1" s="163"/>
      <c r="G1" s="163"/>
      <c r="H1" s="163"/>
      <c r="I1" s="163"/>
      <c r="J1" s="163"/>
      <c r="K1" s="163"/>
      <c r="L1" s="163"/>
      <c r="M1" s="163"/>
      <c r="N1" s="163"/>
      <c r="O1" s="163"/>
    </row>
    <row r="2" spans="2:15" s="1" customFormat="1" ht="15" customHeight="1">
      <c r="B2" s="163"/>
      <c r="C2" s="163"/>
      <c r="D2" s="163"/>
      <c r="E2" s="163"/>
      <c r="F2" s="163"/>
      <c r="G2" s="163"/>
      <c r="H2" s="163"/>
      <c r="I2" s="163"/>
      <c r="J2" s="163"/>
      <c r="K2" s="163"/>
      <c r="L2" s="163"/>
      <c r="M2" s="163"/>
      <c r="N2" s="163"/>
      <c r="O2" s="163"/>
    </row>
    <row r="3" spans="2:15" s="1" customFormat="1"/>
    <row r="4" spans="2:15">
      <c r="B4" s="164" t="s">
        <v>58</v>
      </c>
      <c r="C4" s="96"/>
      <c r="D4" s="3"/>
      <c r="E4" s="3"/>
      <c r="F4" s="3"/>
      <c r="G4" s="3"/>
      <c r="H4" s="3"/>
      <c r="I4" s="3"/>
      <c r="J4" s="3"/>
      <c r="K4" s="3"/>
      <c r="L4" s="3"/>
      <c r="M4" s="3"/>
      <c r="N4" s="3"/>
      <c r="O4" s="3"/>
    </row>
    <row r="5" spans="2:15" s="1" customFormat="1" ht="18.75" customHeight="1">
      <c r="B5" s="165"/>
      <c r="C5" s="59">
        <v>46022</v>
      </c>
      <c r="D5" s="59">
        <v>45657</v>
      </c>
      <c r="E5" s="59">
        <v>45291</v>
      </c>
      <c r="F5" s="59">
        <v>44926</v>
      </c>
      <c r="G5" s="59">
        <v>44561</v>
      </c>
      <c r="H5" s="59">
        <v>44196</v>
      </c>
      <c r="I5" s="59">
        <v>43830</v>
      </c>
      <c r="J5" s="59">
        <v>43465</v>
      </c>
      <c r="K5" s="59">
        <v>43100</v>
      </c>
      <c r="L5" s="59" t="s">
        <v>8</v>
      </c>
      <c r="M5" s="59" t="s">
        <v>7</v>
      </c>
      <c r="N5" s="59" t="s">
        <v>6</v>
      </c>
      <c r="O5" s="59" t="s">
        <v>5</v>
      </c>
    </row>
    <row r="6" spans="2:15" s="1" customFormat="1">
      <c r="B6" s="60" t="s">
        <v>30</v>
      </c>
      <c r="C6" s="61"/>
      <c r="E6" s="27"/>
      <c r="F6" s="27"/>
      <c r="G6" s="27"/>
      <c r="H6" s="27"/>
      <c r="I6" s="27"/>
      <c r="J6" s="27"/>
      <c r="K6" s="11"/>
      <c r="L6" s="11"/>
      <c r="M6" s="11"/>
      <c r="N6" s="11"/>
      <c r="O6" s="11"/>
    </row>
    <row r="7" spans="2:15" s="1" customFormat="1" ht="7.5" customHeight="1">
      <c r="B7" s="60"/>
      <c r="C7" s="10"/>
      <c r="E7" s="11"/>
      <c r="F7" s="11"/>
      <c r="G7" s="11"/>
      <c r="H7" s="11"/>
      <c r="I7" s="11"/>
      <c r="J7" s="11"/>
      <c r="K7" s="11"/>
      <c r="L7" s="11"/>
      <c r="M7" s="11"/>
      <c r="N7" s="11"/>
      <c r="O7" s="11"/>
    </row>
    <row r="8" spans="2:15" s="1" customFormat="1">
      <c r="B8" s="9" t="s">
        <v>28</v>
      </c>
      <c r="C8" s="115">
        <v>1994026.7400000002</v>
      </c>
      <c r="D8" s="11">
        <v>1619512</v>
      </c>
      <c r="E8" s="11">
        <v>1409897</v>
      </c>
      <c r="F8" s="11">
        <v>1222499</v>
      </c>
      <c r="G8" s="11">
        <v>589392</v>
      </c>
      <c r="H8" s="11">
        <v>542205</v>
      </c>
      <c r="I8" s="11">
        <v>484351</v>
      </c>
      <c r="J8" s="11">
        <v>467987</v>
      </c>
      <c r="K8" s="11">
        <v>367096</v>
      </c>
      <c r="L8" s="11">
        <v>290739</v>
      </c>
      <c r="M8" s="11">
        <v>325328</v>
      </c>
      <c r="N8" s="11">
        <v>287388</v>
      </c>
      <c r="O8" s="11">
        <v>168245</v>
      </c>
    </row>
    <row r="9" spans="2:15" s="1" customFormat="1">
      <c r="B9" s="9" t="s">
        <v>29</v>
      </c>
      <c r="C9" s="115">
        <v>5864393.2599999998</v>
      </c>
      <c r="D9" s="11">
        <v>3751303</v>
      </c>
      <c r="E9" s="11">
        <v>2266859</v>
      </c>
      <c r="F9" s="11">
        <v>1938503</v>
      </c>
      <c r="G9" s="11">
        <v>1786869</v>
      </c>
      <c r="H9" s="11">
        <v>1033602</v>
      </c>
      <c r="I9" s="11">
        <v>470845</v>
      </c>
      <c r="J9" s="11">
        <v>363908</v>
      </c>
      <c r="K9" s="11">
        <v>378471</v>
      </c>
      <c r="L9" s="11">
        <v>375642</v>
      </c>
      <c r="M9" s="11">
        <v>298138</v>
      </c>
      <c r="N9" s="11">
        <v>267966</v>
      </c>
      <c r="O9" s="11">
        <v>245087</v>
      </c>
    </row>
    <row r="10" spans="2:15" s="1" customFormat="1">
      <c r="B10" s="9" t="s">
        <v>60</v>
      </c>
      <c r="C10" s="115">
        <v>1006973</v>
      </c>
      <c r="D10" s="11">
        <v>1123923</v>
      </c>
      <c r="E10" s="11">
        <v>903255</v>
      </c>
      <c r="F10" s="11">
        <v>842509</v>
      </c>
      <c r="G10" s="11">
        <v>703546</v>
      </c>
      <c r="H10" s="11">
        <v>663133</v>
      </c>
      <c r="I10" s="11">
        <v>149318</v>
      </c>
      <c r="J10" s="11">
        <v>114279</v>
      </c>
      <c r="K10" s="11" t="s">
        <v>62</v>
      </c>
      <c r="L10" s="11" t="s">
        <v>62</v>
      </c>
      <c r="M10" s="11" t="s">
        <v>62</v>
      </c>
      <c r="N10" s="11" t="s">
        <v>62</v>
      </c>
      <c r="O10" s="11" t="s">
        <v>62</v>
      </c>
    </row>
    <row r="11" spans="2:15" s="1" customFormat="1">
      <c r="B11" s="9" t="s">
        <v>40</v>
      </c>
      <c r="C11" s="115" t="s">
        <v>156</v>
      </c>
      <c r="D11" s="11" t="s">
        <v>62</v>
      </c>
      <c r="E11" s="11" t="s">
        <v>62</v>
      </c>
      <c r="F11" s="11" t="s">
        <v>62</v>
      </c>
      <c r="G11" s="11" t="s">
        <v>62</v>
      </c>
      <c r="H11" s="11" t="s">
        <v>62</v>
      </c>
      <c r="I11" s="11" t="s">
        <v>62</v>
      </c>
      <c r="J11" s="11" t="s">
        <v>62</v>
      </c>
      <c r="K11" s="11">
        <v>127944</v>
      </c>
      <c r="L11" s="11">
        <v>94903</v>
      </c>
      <c r="M11" s="11">
        <v>64254</v>
      </c>
      <c r="N11" s="11">
        <v>61322</v>
      </c>
      <c r="O11" s="11">
        <v>71541</v>
      </c>
    </row>
    <row r="12" spans="2:15" s="1" customFormat="1">
      <c r="B12" s="9" t="s">
        <v>39</v>
      </c>
      <c r="C12" s="115" t="s">
        <v>156</v>
      </c>
      <c r="D12" s="11" t="s">
        <v>62</v>
      </c>
      <c r="E12" s="11" t="s">
        <v>62</v>
      </c>
      <c r="F12" s="11" t="s">
        <v>62</v>
      </c>
      <c r="G12" s="11" t="s">
        <v>62</v>
      </c>
      <c r="H12" s="11" t="s">
        <v>62</v>
      </c>
      <c r="I12" s="11" t="s">
        <v>62</v>
      </c>
      <c r="J12" s="11" t="s">
        <v>62</v>
      </c>
      <c r="K12" s="11">
        <v>0</v>
      </c>
      <c r="L12" s="11">
        <v>0</v>
      </c>
      <c r="M12" s="11">
        <v>0</v>
      </c>
      <c r="N12" s="11">
        <v>288</v>
      </c>
      <c r="O12" s="11">
        <v>0</v>
      </c>
    </row>
    <row r="13" spans="2:15" s="1" customFormat="1">
      <c r="B13" s="9" t="s">
        <v>31</v>
      </c>
      <c r="C13" s="115" t="s">
        <v>156</v>
      </c>
      <c r="D13" s="11" t="s">
        <v>62</v>
      </c>
      <c r="E13" s="11" t="s">
        <v>62</v>
      </c>
      <c r="F13" s="11" t="s">
        <v>62</v>
      </c>
      <c r="G13" s="11" t="s">
        <v>62</v>
      </c>
      <c r="H13" s="11" t="s">
        <v>62</v>
      </c>
      <c r="I13" s="11" t="s">
        <v>62</v>
      </c>
      <c r="J13" s="11" t="s">
        <v>62</v>
      </c>
      <c r="K13" s="11">
        <v>147</v>
      </c>
      <c r="L13" s="11">
        <v>190</v>
      </c>
      <c r="M13" s="11">
        <v>213</v>
      </c>
      <c r="N13" s="11">
        <v>241</v>
      </c>
      <c r="O13" s="11">
        <v>0</v>
      </c>
    </row>
    <row r="14" spans="2:15" s="1" customFormat="1">
      <c r="B14" s="9" t="s">
        <v>32</v>
      </c>
      <c r="C14" s="115">
        <v>14112</v>
      </c>
      <c r="D14" s="11">
        <v>131</v>
      </c>
      <c r="E14" s="11">
        <v>129</v>
      </c>
      <c r="F14" s="11">
        <v>0</v>
      </c>
      <c r="G14" s="11">
        <v>7247</v>
      </c>
      <c r="H14" s="11">
        <v>2593</v>
      </c>
      <c r="I14" s="11">
        <v>71</v>
      </c>
      <c r="J14" s="11">
        <v>3068</v>
      </c>
      <c r="K14" s="11">
        <v>375</v>
      </c>
      <c r="L14" s="11">
        <v>1016</v>
      </c>
      <c r="M14" s="11">
        <v>2443</v>
      </c>
      <c r="N14" s="11">
        <v>56</v>
      </c>
      <c r="O14" s="11">
        <v>8</v>
      </c>
    </row>
    <row r="15" spans="2:15" s="1" customFormat="1">
      <c r="B15" s="9" t="s">
        <v>65</v>
      </c>
      <c r="C15" s="115">
        <v>107761</v>
      </c>
      <c r="D15" s="11">
        <v>55026</v>
      </c>
      <c r="E15" s="11">
        <v>31407</v>
      </c>
      <c r="F15" s="11">
        <v>41675</v>
      </c>
      <c r="G15" s="11">
        <v>26568</v>
      </c>
      <c r="H15" s="11">
        <v>13310</v>
      </c>
      <c r="I15" s="11">
        <v>6474</v>
      </c>
      <c r="J15" s="11">
        <v>5005</v>
      </c>
      <c r="K15" s="11">
        <v>4009</v>
      </c>
      <c r="L15" s="11">
        <v>5244</v>
      </c>
      <c r="M15" s="11">
        <v>4545</v>
      </c>
      <c r="N15" s="11">
        <v>3904</v>
      </c>
      <c r="O15" s="11">
        <v>40482</v>
      </c>
    </row>
    <row r="16" spans="2:15" s="1" customFormat="1">
      <c r="B16" s="9" t="s">
        <v>33</v>
      </c>
      <c r="C16" s="115">
        <v>29037</v>
      </c>
      <c r="D16" s="11">
        <v>19686</v>
      </c>
      <c r="E16" s="11">
        <v>15486</v>
      </c>
      <c r="F16" s="11">
        <v>14524</v>
      </c>
      <c r="G16" s="11">
        <v>8637</v>
      </c>
      <c r="H16" s="11">
        <v>5397</v>
      </c>
      <c r="I16" s="11">
        <v>4073</v>
      </c>
      <c r="J16" s="11">
        <v>3049</v>
      </c>
      <c r="K16" s="11">
        <v>3216</v>
      </c>
      <c r="L16" s="11">
        <v>3590</v>
      </c>
      <c r="M16" s="11">
        <v>2513</v>
      </c>
      <c r="N16" s="11">
        <v>1956</v>
      </c>
      <c r="O16" s="11">
        <v>2265</v>
      </c>
    </row>
    <row r="17" spans="2:15" s="1" customFormat="1">
      <c r="B17" s="9" t="s">
        <v>34</v>
      </c>
      <c r="C17" s="115">
        <v>1398</v>
      </c>
      <c r="D17" s="11">
        <v>2009</v>
      </c>
      <c r="E17" s="11">
        <v>1167</v>
      </c>
      <c r="F17" s="11">
        <v>1441</v>
      </c>
      <c r="G17" s="11">
        <v>585</v>
      </c>
      <c r="H17" s="11">
        <v>639</v>
      </c>
      <c r="I17" s="11">
        <v>572</v>
      </c>
      <c r="J17" s="11">
        <v>716</v>
      </c>
      <c r="K17" s="11">
        <v>2915</v>
      </c>
      <c r="L17" s="11">
        <v>10060</v>
      </c>
      <c r="M17" s="11">
        <v>13340</v>
      </c>
      <c r="N17" s="11">
        <v>17908</v>
      </c>
      <c r="O17" s="11">
        <v>12929</v>
      </c>
    </row>
    <row r="18" spans="2:15" s="1" customFormat="1">
      <c r="B18" s="9" t="s">
        <v>35</v>
      </c>
      <c r="C18" s="115">
        <v>63407</v>
      </c>
      <c r="D18" s="11">
        <v>65334</v>
      </c>
      <c r="E18" s="11">
        <v>50386</v>
      </c>
      <c r="F18" s="11">
        <v>45303</v>
      </c>
      <c r="G18" s="11">
        <v>16206</v>
      </c>
      <c r="H18" s="11">
        <v>13260</v>
      </c>
      <c r="I18" s="11">
        <v>14193</v>
      </c>
      <c r="J18" s="11">
        <v>2517</v>
      </c>
      <c r="K18" s="11">
        <v>3034</v>
      </c>
      <c r="L18" s="11">
        <v>3746</v>
      </c>
      <c r="M18" s="11">
        <v>4107</v>
      </c>
      <c r="N18" s="11">
        <v>4489</v>
      </c>
      <c r="O18" s="11">
        <v>4692</v>
      </c>
    </row>
    <row r="19" spans="2:15" s="1" customFormat="1">
      <c r="B19" s="9" t="s">
        <v>36</v>
      </c>
      <c r="C19" s="115">
        <v>5559</v>
      </c>
      <c r="D19" s="11">
        <v>8708</v>
      </c>
      <c r="E19" s="11">
        <v>10072</v>
      </c>
      <c r="F19" s="11">
        <v>7869</v>
      </c>
      <c r="G19" s="11">
        <v>8693</v>
      </c>
      <c r="H19" s="11">
        <v>9387</v>
      </c>
      <c r="I19" s="11">
        <v>9003</v>
      </c>
      <c r="J19" s="11">
        <v>9545</v>
      </c>
      <c r="K19" s="11">
        <v>10497</v>
      </c>
      <c r="L19" s="11">
        <v>11623</v>
      </c>
      <c r="M19" s="11">
        <v>12238</v>
      </c>
      <c r="N19" s="11">
        <v>12799</v>
      </c>
      <c r="O19" s="11">
        <v>11732</v>
      </c>
    </row>
    <row r="20" spans="2:15" s="1" customFormat="1">
      <c r="B20" s="62" t="s">
        <v>37</v>
      </c>
      <c r="C20" s="116">
        <v>9086667</v>
      </c>
      <c r="D20" s="63">
        <f t="shared" ref="D20" si="0">SUM(D8:D19)</f>
        <v>6645632</v>
      </c>
      <c r="E20" s="63">
        <f>SUM(E8:E19)</f>
        <v>4688658</v>
      </c>
      <c r="F20" s="63">
        <f>SUM(F8:F19)</f>
        <v>4114323</v>
      </c>
      <c r="G20" s="63">
        <f>SUM(G8:G19)</f>
        <v>3147743</v>
      </c>
      <c r="H20" s="63">
        <f>SUM(H8:H19)</f>
        <v>2283526</v>
      </c>
      <c r="I20" s="63">
        <f>SUM(I8:I19)</f>
        <v>1138900</v>
      </c>
      <c r="J20" s="63">
        <f t="shared" ref="J20:O20" si="1">SUM(J8:J19)</f>
        <v>970074</v>
      </c>
      <c r="K20" s="63">
        <f t="shared" si="1"/>
        <v>897704</v>
      </c>
      <c r="L20" s="63">
        <f t="shared" si="1"/>
        <v>796753</v>
      </c>
      <c r="M20" s="63">
        <f t="shared" si="1"/>
        <v>727119</v>
      </c>
      <c r="N20" s="63">
        <f t="shared" si="1"/>
        <v>658317</v>
      </c>
      <c r="O20" s="63">
        <f t="shared" si="1"/>
        <v>556981</v>
      </c>
    </row>
    <row r="21" spans="2:15" s="1" customFormat="1" ht="7.5" customHeight="1">
      <c r="B21" s="9"/>
      <c r="C21" s="10"/>
      <c r="E21" s="11"/>
      <c r="F21" s="11"/>
      <c r="G21" s="11"/>
      <c r="H21" s="11"/>
      <c r="I21" s="11"/>
      <c r="J21" s="11"/>
      <c r="K21" s="11"/>
      <c r="L21" s="11"/>
      <c r="M21" s="11"/>
      <c r="N21" s="11"/>
      <c r="O21" s="11"/>
    </row>
    <row r="22" spans="2:15" s="1" customFormat="1">
      <c r="B22" s="60" t="s">
        <v>38</v>
      </c>
      <c r="C22" s="10"/>
      <c r="E22" s="11"/>
      <c r="F22" s="11"/>
      <c r="G22" s="11"/>
      <c r="H22" s="11"/>
      <c r="I22" s="11"/>
      <c r="J22" s="11"/>
      <c r="K22" s="11"/>
      <c r="L22" s="11"/>
      <c r="M22" s="11"/>
      <c r="N22" s="11"/>
      <c r="O22" s="11"/>
    </row>
    <row r="23" spans="2:15" s="1" customFormat="1" ht="7.5" customHeight="1">
      <c r="B23" s="60"/>
      <c r="C23" s="10"/>
      <c r="E23" s="11"/>
      <c r="F23" s="11"/>
      <c r="G23" s="11"/>
      <c r="H23" s="11"/>
      <c r="I23" s="11"/>
      <c r="J23" s="11"/>
      <c r="K23" s="11"/>
      <c r="L23" s="11"/>
      <c r="M23" s="11"/>
      <c r="N23" s="11"/>
      <c r="O23" s="11"/>
    </row>
    <row r="24" spans="2:15" s="1" customFormat="1">
      <c r="B24" s="60" t="s">
        <v>41</v>
      </c>
      <c r="C24" s="10"/>
      <c r="E24" s="11"/>
      <c r="F24" s="11"/>
      <c r="G24" s="11"/>
      <c r="H24" s="11"/>
      <c r="I24" s="11"/>
      <c r="J24" s="11"/>
      <c r="K24" s="11"/>
      <c r="L24" s="11"/>
      <c r="M24" s="11"/>
      <c r="N24" s="11"/>
      <c r="O24" s="11"/>
    </row>
    <row r="25" spans="2:15" s="1" customFormat="1">
      <c r="B25" s="9" t="s">
        <v>42</v>
      </c>
      <c r="C25" s="117">
        <v>6528223</v>
      </c>
      <c r="D25" s="11">
        <v>4164895</v>
      </c>
      <c r="E25" s="11">
        <v>2638122</v>
      </c>
      <c r="F25" s="11">
        <v>2327728</v>
      </c>
      <c r="G25" s="11">
        <v>2010490</v>
      </c>
      <c r="H25" s="11">
        <v>1203243</v>
      </c>
      <c r="I25" s="11">
        <v>573792</v>
      </c>
      <c r="J25" s="11">
        <v>447841</v>
      </c>
      <c r="K25" s="11">
        <v>421400</v>
      </c>
      <c r="L25" s="11">
        <v>377268</v>
      </c>
      <c r="M25" s="11">
        <v>301076</v>
      </c>
      <c r="N25" s="11">
        <v>268032</v>
      </c>
      <c r="O25" s="11">
        <v>246057</v>
      </c>
    </row>
    <row r="26" spans="2:15" s="1" customFormat="1">
      <c r="B26" s="9" t="s">
        <v>43</v>
      </c>
      <c r="C26" s="117">
        <v>271159</v>
      </c>
      <c r="D26" s="11">
        <v>208193</v>
      </c>
      <c r="E26" s="11">
        <v>110358</v>
      </c>
      <c r="F26" s="11">
        <v>105552</v>
      </c>
      <c r="G26" s="11">
        <v>127712</v>
      </c>
      <c r="H26" s="11">
        <v>96632</v>
      </c>
      <c r="I26" s="11">
        <v>23529</v>
      </c>
      <c r="J26" s="11">
        <v>28227</v>
      </c>
      <c r="K26" s="11">
        <v>40905</v>
      </c>
      <c r="L26" s="11">
        <v>22645</v>
      </c>
      <c r="M26" s="11">
        <v>10215</v>
      </c>
      <c r="N26" s="11">
        <v>14692</v>
      </c>
      <c r="O26" s="11">
        <v>11479</v>
      </c>
    </row>
    <row r="27" spans="2:15" s="1" customFormat="1">
      <c r="B27" s="9" t="s">
        <v>44</v>
      </c>
      <c r="C27" s="117">
        <v>1497</v>
      </c>
      <c r="D27" s="11">
        <v>13316</v>
      </c>
      <c r="E27" s="11">
        <v>22991</v>
      </c>
      <c r="F27" s="11">
        <v>1827</v>
      </c>
      <c r="G27" s="11">
        <v>783</v>
      </c>
      <c r="H27" s="11">
        <v>1329</v>
      </c>
      <c r="I27" s="11">
        <v>1697</v>
      </c>
      <c r="J27" s="11">
        <v>232</v>
      </c>
      <c r="K27" s="11">
        <v>1268</v>
      </c>
      <c r="L27" s="11">
        <v>4262</v>
      </c>
      <c r="M27" s="11">
        <v>4562</v>
      </c>
      <c r="N27" s="11">
        <v>7301</v>
      </c>
      <c r="O27" s="11">
        <v>6814</v>
      </c>
    </row>
    <row r="28" spans="2:15" s="1" customFormat="1">
      <c r="B28" s="9" t="s">
        <v>66</v>
      </c>
      <c r="C28" s="117">
        <v>25867</v>
      </c>
      <c r="D28" s="11">
        <v>33935</v>
      </c>
      <c r="E28" s="11">
        <v>29603</v>
      </c>
      <c r="F28" s="11">
        <v>30450</v>
      </c>
      <c r="G28" s="11">
        <v>7437</v>
      </c>
      <c r="H28" s="11">
        <v>8654</v>
      </c>
      <c r="I28" s="11">
        <v>10772</v>
      </c>
      <c r="J28" s="11">
        <v>37</v>
      </c>
      <c r="K28" s="11">
        <v>128</v>
      </c>
      <c r="L28" s="11">
        <v>258</v>
      </c>
      <c r="M28" s="11">
        <v>375</v>
      </c>
      <c r="N28" s="11">
        <v>513</v>
      </c>
      <c r="O28" s="11">
        <v>268</v>
      </c>
    </row>
    <row r="29" spans="2:15" s="1" customFormat="1">
      <c r="B29" s="9" t="s">
        <v>45</v>
      </c>
      <c r="C29" s="117">
        <v>174508</v>
      </c>
      <c r="D29" s="11">
        <v>156884</v>
      </c>
      <c r="E29" s="11">
        <v>86080</v>
      </c>
      <c r="F29" s="11">
        <v>79705</v>
      </c>
      <c r="G29" s="11">
        <v>48377</v>
      </c>
      <c r="H29" s="11">
        <v>54167</v>
      </c>
      <c r="I29" s="11">
        <v>19676</v>
      </c>
      <c r="J29" s="11">
        <v>23744</v>
      </c>
      <c r="K29" s="11">
        <v>21785</v>
      </c>
      <c r="L29" s="11">
        <v>22435</v>
      </c>
      <c r="M29" s="11">
        <v>26333</v>
      </c>
      <c r="N29" s="11">
        <v>22092</v>
      </c>
      <c r="O29" s="11">
        <v>24146</v>
      </c>
    </row>
    <row r="30" spans="2:15" s="1" customFormat="1">
      <c r="B30" s="9" t="s">
        <v>46</v>
      </c>
      <c r="C30" s="117">
        <v>6414</v>
      </c>
      <c r="D30" s="11">
        <v>3530</v>
      </c>
      <c r="E30" s="11">
        <v>3892</v>
      </c>
      <c r="F30" s="11">
        <v>4256</v>
      </c>
      <c r="G30" s="11">
        <v>4965</v>
      </c>
      <c r="H30" s="11">
        <v>7939</v>
      </c>
      <c r="I30" s="11">
        <v>3129</v>
      </c>
      <c r="J30" s="11">
        <v>1980</v>
      </c>
      <c r="K30" s="11">
        <v>1666</v>
      </c>
      <c r="L30" s="11">
        <v>948</v>
      </c>
      <c r="M30" s="11">
        <v>871</v>
      </c>
      <c r="N30" s="11">
        <v>565</v>
      </c>
      <c r="O30" s="11">
        <v>608</v>
      </c>
    </row>
    <row r="31" spans="2:15" s="1" customFormat="1">
      <c r="B31" s="9" t="s">
        <v>47</v>
      </c>
      <c r="C31" s="117">
        <v>78502</v>
      </c>
      <c r="D31" s="11">
        <v>61238</v>
      </c>
      <c r="E31" s="11">
        <v>62949</v>
      </c>
      <c r="F31" s="11">
        <v>58736</v>
      </c>
      <c r="G31" s="11">
        <v>32419</v>
      </c>
      <c r="H31" s="11">
        <v>23257</v>
      </c>
      <c r="I31" s="11">
        <v>15561</v>
      </c>
      <c r="J31" s="11">
        <v>12857</v>
      </c>
      <c r="K31" s="11">
        <v>10210</v>
      </c>
      <c r="L31" s="11">
        <v>13044</v>
      </c>
      <c r="M31" s="11">
        <v>9638</v>
      </c>
      <c r="N31" s="11">
        <v>9411</v>
      </c>
      <c r="O31" s="11">
        <v>11067</v>
      </c>
    </row>
    <row r="32" spans="2:15" s="1" customFormat="1">
      <c r="B32" s="62" t="s">
        <v>48</v>
      </c>
      <c r="C32" s="118">
        <v>7086170</v>
      </c>
      <c r="D32" s="63">
        <f t="shared" ref="D32" si="2">SUM(D25:D31)</f>
        <v>4641991</v>
      </c>
      <c r="E32" s="63">
        <f>SUM(E25:E31)</f>
        <v>2953995</v>
      </c>
      <c r="F32" s="63">
        <f>SUM(F25:F31)</f>
        <v>2608254</v>
      </c>
      <c r="G32" s="63">
        <f>SUM(G25:G31)</f>
        <v>2232183</v>
      </c>
      <c r="H32" s="63">
        <f>SUM(H25:H31)</f>
        <v>1395221</v>
      </c>
      <c r="I32" s="63">
        <f>SUM(I25:I31)</f>
        <v>648156</v>
      </c>
      <c r="J32" s="63">
        <f t="shared" ref="J32:O32" si="3">SUM(J25:J31)</f>
        <v>514918</v>
      </c>
      <c r="K32" s="63">
        <f t="shared" si="3"/>
        <v>497362</v>
      </c>
      <c r="L32" s="63">
        <f t="shared" si="3"/>
        <v>440860</v>
      </c>
      <c r="M32" s="63">
        <f t="shared" si="3"/>
        <v>353070</v>
      </c>
      <c r="N32" s="63">
        <f t="shared" si="3"/>
        <v>322606</v>
      </c>
      <c r="O32" s="63">
        <f t="shared" si="3"/>
        <v>300439</v>
      </c>
    </row>
    <row r="33" spans="2:15" s="1" customFormat="1" ht="6.75" customHeight="1">
      <c r="B33" s="60"/>
      <c r="C33" s="119"/>
      <c r="D33" s="64"/>
      <c r="E33" s="64"/>
      <c r="F33" s="64"/>
      <c r="G33" s="64"/>
      <c r="H33" s="64"/>
      <c r="I33" s="64"/>
      <c r="J33" s="64"/>
      <c r="K33" s="64"/>
      <c r="L33" s="64"/>
      <c r="M33" s="64"/>
      <c r="N33" s="64"/>
      <c r="O33" s="64"/>
    </row>
    <row r="34" spans="2:15" s="1" customFormat="1">
      <c r="B34" s="60" t="s">
        <v>49</v>
      </c>
      <c r="C34" s="119"/>
      <c r="D34" s="64"/>
      <c r="E34" s="64"/>
      <c r="F34" s="64"/>
      <c r="G34" s="64"/>
      <c r="H34" s="64"/>
      <c r="I34" s="64"/>
      <c r="J34" s="64"/>
      <c r="K34" s="64"/>
      <c r="L34" s="64"/>
      <c r="M34" s="64"/>
      <c r="N34" s="64"/>
      <c r="O34" s="64"/>
    </row>
    <row r="35" spans="2:15" s="1" customFormat="1">
      <c r="B35" s="9" t="s">
        <v>50</v>
      </c>
      <c r="C35" s="117">
        <v>5878</v>
      </c>
      <c r="D35" s="11">
        <v>5878</v>
      </c>
      <c r="E35" s="11">
        <v>5878</v>
      </c>
      <c r="F35" s="11">
        <v>5869</v>
      </c>
      <c r="G35" s="11">
        <v>5869</v>
      </c>
      <c r="H35" s="11">
        <v>5869</v>
      </c>
      <c r="I35" s="11">
        <v>5869</v>
      </c>
      <c r="J35" s="11">
        <v>5869</v>
      </c>
      <c r="K35" s="11">
        <v>5869</v>
      </c>
      <c r="L35" s="11">
        <v>5869</v>
      </c>
      <c r="M35" s="11">
        <v>5869</v>
      </c>
      <c r="N35" s="11">
        <v>5869</v>
      </c>
      <c r="O35" s="11">
        <v>5869</v>
      </c>
    </row>
    <row r="36" spans="2:15" s="1" customFormat="1">
      <c r="B36" s="9" t="s">
        <v>51</v>
      </c>
      <c r="C36" s="117">
        <v>71608</v>
      </c>
      <c r="D36" s="11">
        <v>71608</v>
      </c>
      <c r="E36" s="11">
        <v>71608</v>
      </c>
      <c r="F36" s="11">
        <v>71608</v>
      </c>
      <c r="G36" s="11">
        <v>71608</v>
      </c>
      <c r="H36" s="11">
        <v>71608</v>
      </c>
      <c r="I36" s="11">
        <v>71608</v>
      </c>
      <c r="J36" s="11">
        <v>71608</v>
      </c>
      <c r="K36" s="11">
        <v>71608</v>
      </c>
      <c r="L36" s="11">
        <v>71608</v>
      </c>
      <c r="M36" s="11">
        <v>71608</v>
      </c>
      <c r="N36" s="11">
        <v>71608</v>
      </c>
      <c r="O36" s="11">
        <v>71608</v>
      </c>
    </row>
    <row r="37" spans="2:15" s="1" customFormat="1">
      <c r="B37" s="9" t="s">
        <v>52</v>
      </c>
      <c r="C37" s="117">
        <v>1274458</v>
      </c>
      <c r="D37" s="11">
        <v>1059614</v>
      </c>
      <c r="E37" s="11">
        <v>863166</v>
      </c>
      <c r="F37" s="11">
        <v>657555</v>
      </c>
      <c r="G37" s="11">
        <v>598789</v>
      </c>
      <c r="H37" s="11">
        <v>390730</v>
      </c>
      <c r="I37" s="11">
        <v>364757</v>
      </c>
      <c r="J37" s="11">
        <v>334898</v>
      </c>
      <c r="K37" s="11">
        <v>247992</v>
      </c>
      <c r="L37" s="11">
        <v>212554</v>
      </c>
      <c r="M37" s="11">
        <v>189092</v>
      </c>
      <c r="N37" s="11">
        <v>189092</v>
      </c>
      <c r="O37" s="11">
        <v>102650</v>
      </c>
    </row>
    <row r="38" spans="2:15" s="1" customFormat="1">
      <c r="B38" s="9" t="s">
        <v>53</v>
      </c>
      <c r="C38" s="117">
        <v>-11788</v>
      </c>
      <c r="D38" s="11">
        <v>-4074</v>
      </c>
      <c r="E38" s="11">
        <v>-6595</v>
      </c>
      <c r="F38" s="11">
        <v>40</v>
      </c>
      <c r="G38" s="11">
        <v>-449</v>
      </c>
      <c r="H38" s="11">
        <v>9</v>
      </c>
      <c r="I38" s="11">
        <v>-23637</v>
      </c>
      <c r="J38" s="11">
        <v>-21479</v>
      </c>
      <c r="K38" s="11">
        <v>-15906</v>
      </c>
      <c r="L38" s="11">
        <v>-4945</v>
      </c>
      <c r="M38" s="11">
        <v>-641</v>
      </c>
      <c r="N38" s="11">
        <v>2535</v>
      </c>
      <c r="O38" s="11">
        <v>430</v>
      </c>
    </row>
    <row r="39" spans="2:15" s="1" customFormat="1">
      <c r="B39" s="9" t="s">
        <v>54</v>
      </c>
      <c r="C39" s="117">
        <v>659484</v>
      </c>
      <c r="D39" s="11">
        <v>870495</v>
      </c>
      <c r="E39" s="11">
        <v>800606</v>
      </c>
      <c r="F39" s="11">
        <v>770997</v>
      </c>
      <c r="G39" s="11">
        <v>239743</v>
      </c>
      <c r="H39" s="11">
        <v>420089</v>
      </c>
      <c r="I39" s="11">
        <v>72147</v>
      </c>
      <c r="J39" s="11">
        <v>64260</v>
      </c>
      <c r="K39" s="11">
        <v>90779</v>
      </c>
      <c r="L39" s="11">
        <v>70807</v>
      </c>
      <c r="M39" s="11">
        <v>108121</v>
      </c>
      <c r="N39" s="11">
        <v>66607</v>
      </c>
      <c r="O39" s="11">
        <v>75985</v>
      </c>
    </row>
    <row r="40" spans="2:15" s="1" customFormat="1">
      <c r="B40" s="62" t="s">
        <v>55</v>
      </c>
      <c r="C40" s="118">
        <v>1999640</v>
      </c>
      <c r="D40" s="63">
        <f>SUM(D35:D39)</f>
        <v>2003521</v>
      </c>
      <c r="E40" s="63">
        <f>SUM(E35:E39)</f>
        <v>1734663</v>
      </c>
      <c r="F40" s="63">
        <f>SUM(F35:F39)</f>
        <v>1506069</v>
      </c>
      <c r="G40" s="63">
        <f>SUM(G35:G39)</f>
        <v>915560</v>
      </c>
      <c r="H40" s="63">
        <f>SUM(H35:H39)</f>
        <v>888305</v>
      </c>
      <c r="I40" s="63">
        <f t="shared" ref="I40" si="4">SUM(I35:I39)</f>
        <v>490744</v>
      </c>
      <c r="J40" s="63">
        <f t="shared" ref="J40:L40" si="5">SUM(J35:J39)</f>
        <v>455156</v>
      </c>
      <c r="K40" s="63">
        <f t="shared" si="5"/>
        <v>400342</v>
      </c>
      <c r="L40" s="63">
        <f t="shared" si="5"/>
        <v>355893</v>
      </c>
      <c r="M40" s="63">
        <f t="shared" ref="M40:O40" si="6">SUM(M35:M39)</f>
        <v>374049</v>
      </c>
      <c r="N40" s="63">
        <f t="shared" si="6"/>
        <v>335711</v>
      </c>
      <c r="O40" s="63">
        <f t="shared" si="6"/>
        <v>256542</v>
      </c>
    </row>
    <row r="41" spans="2:15" s="1" customFormat="1">
      <c r="B41" s="62" t="s">
        <v>107</v>
      </c>
      <c r="C41" s="118">
        <v>857</v>
      </c>
      <c r="D41" s="63">
        <v>120</v>
      </c>
      <c r="E41" s="63">
        <v>0</v>
      </c>
      <c r="F41" s="63">
        <v>0</v>
      </c>
      <c r="G41" s="63">
        <v>0</v>
      </c>
      <c r="H41" s="63">
        <v>0</v>
      </c>
      <c r="I41" s="63">
        <v>0</v>
      </c>
      <c r="J41" s="63">
        <v>0</v>
      </c>
      <c r="K41" s="63">
        <v>0</v>
      </c>
      <c r="L41" s="63">
        <v>0</v>
      </c>
      <c r="M41" s="63">
        <v>0</v>
      </c>
      <c r="N41" s="63">
        <v>0</v>
      </c>
      <c r="O41" s="63">
        <v>0</v>
      </c>
    </row>
    <row r="42" spans="2:15" s="1" customFormat="1">
      <c r="B42" s="62" t="s">
        <v>56</v>
      </c>
      <c r="C42" s="118">
        <v>2000497</v>
      </c>
      <c r="D42" s="63">
        <f>D40+D41</f>
        <v>2003641</v>
      </c>
      <c r="E42" s="63">
        <f>E40</f>
        <v>1734663</v>
      </c>
      <c r="F42" s="63">
        <f>F40</f>
        <v>1506069</v>
      </c>
      <c r="G42" s="63">
        <f>G40</f>
        <v>915560</v>
      </c>
      <c r="H42" s="63">
        <f>H40</f>
        <v>888305</v>
      </c>
      <c r="I42" s="63">
        <f t="shared" ref="I42" si="7">I40</f>
        <v>490744</v>
      </c>
      <c r="J42" s="63">
        <f t="shared" ref="J42:L42" si="8">J40</f>
        <v>455156</v>
      </c>
      <c r="K42" s="63">
        <f t="shared" si="8"/>
        <v>400342</v>
      </c>
      <c r="L42" s="63">
        <f t="shared" si="8"/>
        <v>355893</v>
      </c>
      <c r="M42" s="63">
        <f t="shared" ref="M42:O42" si="9">M40</f>
        <v>374049</v>
      </c>
      <c r="N42" s="63">
        <f t="shared" si="9"/>
        <v>335711</v>
      </c>
      <c r="O42" s="63">
        <f t="shared" si="9"/>
        <v>256542</v>
      </c>
    </row>
    <row r="43" spans="2:15" s="1" customFormat="1">
      <c r="B43" s="60"/>
      <c r="C43" s="119"/>
      <c r="D43" s="64"/>
      <c r="E43" s="64"/>
      <c r="F43" s="64"/>
      <c r="G43" s="64"/>
      <c r="H43" s="64"/>
      <c r="I43" s="64"/>
      <c r="J43" s="64"/>
      <c r="K43" s="64"/>
      <c r="L43" s="64"/>
      <c r="M43" s="64"/>
      <c r="N43" s="64"/>
      <c r="O43" s="64"/>
    </row>
    <row r="44" spans="2:15" s="1" customFormat="1">
      <c r="B44" s="62" t="s">
        <v>57</v>
      </c>
      <c r="C44" s="118">
        <v>9086667</v>
      </c>
      <c r="D44" s="63">
        <f t="shared" ref="D44" si="10">D42+D32</f>
        <v>6645632</v>
      </c>
      <c r="E44" s="63">
        <f t="shared" ref="E44:J44" si="11">E42+E32</f>
        <v>4688658</v>
      </c>
      <c r="F44" s="63">
        <f t="shared" si="11"/>
        <v>4114323</v>
      </c>
      <c r="G44" s="63">
        <f t="shared" si="11"/>
        <v>3147743</v>
      </c>
      <c r="H44" s="63">
        <f t="shared" si="11"/>
        <v>2283526</v>
      </c>
      <c r="I44" s="63">
        <f t="shared" si="11"/>
        <v>1138900</v>
      </c>
      <c r="J44" s="63">
        <f t="shared" si="11"/>
        <v>970074</v>
      </c>
      <c r="K44" s="63">
        <f>K32+K42</f>
        <v>897704</v>
      </c>
      <c r="L44" s="63">
        <f>L32+L42</f>
        <v>796753</v>
      </c>
      <c r="M44" s="63">
        <f t="shared" ref="M44:O44" si="12">M32+M42</f>
        <v>727119</v>
      </c>
      <c r="N44" s="63">
        <f t="shared" si="12"/>
        <v>658317</v>
      </c>
      <c r="O44" s="63">
        <f t="shared" si="12"/>
        <v>556981</v>
      </c>
    </row>
    <row r="45" spans="2:15" s="1" customFormat="1" ht="6.75" customHeight="1">
      <c r="B45" s="20"/>
      <c r="C45" s="20"/>
      <c r="D45" s="20"/>
      <c r="E45" s="20"/>
      <c r="F45" s="20"/>
      <c r="G45" s="20"/>
      <c r="H45" s="20"/>
      <c r="I45" s="20"/>
      <c r="J45" s="20"/>
      <c r="K45" s="21"/>
      <c r="L45" s="21"/>
      <c r="M45" s="21"/>
      <c r="N45" s="21"/>
      <c r="O45" s="20"/>
    </row>
    <row r="46" spans="2:15" s="1" customFormat="1" ht="14.25" customHeight="1">
      <c r="B46" s="22" t="s">
        <v>9</v>
      </c>
      <c r="C46" s="22"/>
      <c r="D46" s="22"/>
      <c r="E46" s="22"/>
      <c r="F46" s="22"/>
      <c r="G46" s="22"/>
      <c r="H46" s="22"/>
      <c r="I46" s="22"/>
      <c r="J46" s="22"/>
      <c r="K46" s="22"/>
      <c r="L46" s="22"/>
      <c r="M46" s="21"/>
      <c r="N46" s="21"/>
    </row>
    <row r="47" spans="2:15" s="1" customFormat="1" ht="14.25" customHeight="1">
      <c r="B47" s="22" t="s">
        <v>61</v>
      </c>
      <c r="C47" s="22"/>
      <c r="D47" s="22"/>
      <c r="E47" s="22"/>
      <c r="F47" s="22"/>
      <c r="G47" s="22"/>
      <c r="H47" s="22"/>
      <c r="I47" s="22"/>
      <c r="J47" s="22"/>
    </row>
    <row r="48" spans="2:15" s="1" customFormat="1"/>
    <row r="49" spans="2:15" s="1" customFormat="1" ht="18">
      <c r="B49" s="82" t="s">
        <v>138</v>
      </c>
      <c r="C49" s="82"/>
      <c r="D49" s="83"/>
      <c r="E49" s="83"/>
      <c r="F49" s="83"/>
      <c r="G49" s="83"/>
      <c r="H49" s="83"/>
      <c r="I49" s="83"/>
      <c r="J49" s="83"/>
      <c r="K49" s="83"/>
      <c r="L49" s="83"/>
      <c r="M49" s="83"/>
      <c r="N49" s="83"/>
      <c r="O49" s="83"/>
    </row>
    <row r="50" spans="2:15" s="1" customFormat="1">
      <c r="B50" s="164" t="s">
        <v>137</v>
      </c>
      <c r="C50" s="96"/>
      <c r="D50" s="3"/>
      <c r="E50" s="3"/>
      <c r="F50" s="3"/>
      <c r="G50" s="3"/>
      <c r="H50" s="3"/>
      <c r="I50" s="3"/>
      <c r="J50" s="3"/>
      <c r="K50" s="3"/>
      <c r="L50" s="3"/>
      <c r="M50" s="3"/>
      <c r="N50" s="3"/>
      <c r="O50" s="3"/>
    </row>
    <row r="51" spans="2:15" s="1" customFormat="1">
      <c r="B51" s="165"/>
      <c r="C51" s="120">
        <v>46022</v>
      </c>
      <c r="D51" s="59">
        <v>45657</v>
      </c>
      <c r="E51" s="59">
        <v>45291</v>
      </c>
      <c r="F51" s="59">
        <v>44926</v>
      </c>
      <c r="G51" s="59">
        <v>44561</v>
      </c>
      <c r="H51" s="59">
        <v>44196</v>
      </c>
      <c r="I51" s="59">
        <v>43830</v>
      </c>
      <c r="J51" s="59">
        <v>43465</v>
      </c>
      <c r="K51" s="59">
        <v>43100</v>
      </c>
      <c r="L51" s="59" t="s">
        <v>8</v>
      </c>
      <c r="M51" s="59" t="s">
        <v>7</v>
      </c>
      <c r="N51" s="59">
        <v>42004</v>
      </c>
      <c r="O51" s="59">
        <v>41639</v>
      </c>
    </row>
    <row r="52" spans="2:15" s="1" customFormat="1">
      <c r="B52" s="79" t="s">
        <v>157</v>
      </c>
      <c r="C52" s="123">
        <v>12654451.354900422</v>
      </c>
      <c r="D52" s="122">
        <v>10027358.042820022</v>
      </c>
      <c r="E52" s="122">
        <v>8911488.3271801174</v>
      </c>
      <c r="F52" s="122">
        <v>7353831.6506899381</v>
      </c>
      <c r="G52" s="122">
        <v>7857897.2538900189</v>
      </c>
      <c r="H52" s="122">
        <v>6743974.2895833757</v>
      </c>
      <c r="I52" s="122">
        <v>4435351</v>
      </c>
      <c r="J52" s="122">
        <v>2569397</v>
      </c>
      <c r="K52" s="122">
        <v>3946555</v>
      </c>
      <c r="L52" s="122">
        <v>3071955</v>
      </c>
      <c r="M52" s="122">
        <v>2238608</v>
      </c>
      <c r="N52" s="122">
        <v>2276320</v>
      </c>
      <c r="O52" s="122">
        <v>2175137</v>
      </c>
    </row>
    <row r="53" spans="2:15" s="1" customFormat="1">
      <c r="B53" s="79" t="s">
        <v>158</v>
      </c>
      <c r="C53" s="124">
        <v>27283557</v>
      </c>
      <c r="D53" s="121">
        <v>13681597</v>
      </c>
      <c r="E53" s="121">
        <v>6147595</v>
      </c>
      <c r="F53" s="121">
        <v>3445397</v>
      </c>
      <c r="G53" s="121">
        <v>2452320</v>
      </c>
      <c r="H53" s="121">
        <v>871596</v>
      </c>
      <c r="I53" s="121">
        <v>109185</v>
      </c>
      <c r="J53" s="121">
        <v>37079</v>
      </c>
      <c r="K53" s="121">
        <v>412</v>
      </c>
      <c r="L53" s="121">
        <v>542</v>
      </c>
      <c r="M53" s="121">
        <v>562</v>
      </c>
      <c r="N53" s="121">
        <v>10860</v>
      </c>
      <c r="O53" s="121">
        <v>146603</v>
      </c>
    </row>
    <row r="54" spans="2:15" s="1" customFormat="1">
      <c r="B54" s="79" t="s">
        <v>139</v>
      </c>
      <c r="C54" s="128">
        <v>5864393.2599999998</v>
      </c>
      <c r="D54" s="127">
        <v>3751303</v>
      </c>
      <c r="E54" s="127">
        <v>2266859</v>
      </c>
      <c r="F54" s="127">
        <v>1938503</v>
      </c>
      <c r="G54" s="127">
        <v>1786869</v>
      </c>
      <c r="H54" s="127">
        <v>1033602</v>
      </c>
      <c r="I54" s="127">
        <v>470845</v>
      </c>
      <c r="J54" s="127">
        <v>363908</v>
      </c>
      <c r="K54" s="127">
        <v>378471</v>
      </c>
      <c r="L54" s="127">
        <v>375642</v>
      </c>
      <c r="M54" s="127">
        <v>298138</v>
      </c>
      <c r="N54" s="127">
        <v>267966</v>
      </c>
      <c r="O54" s="127">
        <v>245087</v>
      </c>
    </row>
    <row r="55" spans="2:15" s="1" customFormat="1">
      <c r="B55" s="85" t="s">
        <v>148</v>
      </c>
      <c r="C55" s="125">
        <v>45802401.614900418</v>
      </c>
      <c r="D55" s="126">
        <v>27460258.042820022</v>
      </c>
      <c r="E55" s="126">
        <v>17325942.327180117</v>
      </c>
      <c r="F55" s="126">
        <v>12737731.650689937</v>
      </c>
      <c r="G55" s="126">
        <v>12097086.253890019</v>
      </c>
      <c r="H55" s="126">
        <v>8649172.2895833757</v>
      </c>
      <c r="I55" s="126">
        <v>5015381</v>
      </c>
      <c r="J55" s="126">
        <v>2970384</v>
      </c>
      <c r="K55" s="126">
        <v>4325438</v>
      </c>
      <c r="L55" s="126">
        <v>3448139</v>
      </c>
      <c r="M55" s="126">
        <v>2537308</v>
      </c>
      <c r="N55" s="126">
        <v>2555146</v>
      </c>
      <c r="O55" s="126">
        <v>2566827</v>
      </c>
    </row>
    <row r="56" spans="2:15" s="1" customFormat="1"/>
    <row r="57" spans="2:15" s="1" customFormat="1"/>
    <row r="58" spans="2:15" s="1" customFormat="1"/>
    <row r="59" spans="2:15" s="1" customFormat="1"/>
    <row r="60" spans="2:15" s="1" customFormat="1"/>
    <row r="61" spans="2:15" s="1" customFormat="1"/>
    <row r="62" spans="2:15" s="1" customFormat="1"/>
    <row r="63" spans="2:15" s="1" customFormat="1"/>
    <row r="64" spans="2: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sheetData>
  <mergeCells count="3">
    <mergeCell ref="B1:O2"/>
    <mergeCell ref="B4:B5"/>
    <mergeCell ref="B50:B51"/>
  </mergeCells>
  <pageMargins left="0.70866141732283472" right="0.70866141732283472" top="0.74803149606299213" bottom="0.74803149606299213" header="0.31496062992125984" footer="0.31496062992125984"/>
  <pageSetup paperSize="9" scale="57" orientation="portrait" r:id="rId1"/>
  <colBreaks count="2" manualBreakCount="2">
    <brk id="12" min="4" max="44" man="1"/>
    <brk id="13" min="4"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A5690"/>
  <sheetViews>
    <sheetView zoomScaleNormal="100" workbookViewId="0">
      <pane xSplit="2" ySplit="5" topLeftCell="C40" activePane="bottomRight" state="frozen"/>
      <selection pane="topRight" activeCell="C1" sqref="C1"/>
      <selection pane="bottomLeft" activeCell="A6" sqref="A6"/>
      <selection pane="bottomRight" activeCell="D41" sqref="D6:D41"/>
    </sheetView>
  </sheetViews>
  <sheetFormatPr defaultColWidth="8.7265625" defaultRowHeight="14" outlineLevelRow="1"/>
  <cols>
    <col min="1" max="1" width="1" style="1" customWidth="1"/>
    <col min="2" max="2" width="48.54296875" style="5" customWidth="1"/>
    <col min="3" max="3" width="15.36328125" style="5" customWidth="1"/>
    <col min="4" max="42" width="12.7265625" style="5" customWidth="1"/>
    <col min="43" max="885" width="9" style="1"/>
    <col min="886" max="16384" width="8.7265625" style="5"/>
  </cols>
  <sheetData>
    <row r="1" spans="2:43" s="1" customFormat="1" ht="15" customHeight="1">
      <c r="B1" s="163" t="s">
        <v>26</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row>
    <row r="2" spans="2:43" s="1" customFormat="1" ht="15" customHeight="1">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row>
    <row r="3" spans="2:43" s="1" customFormat="1"/>
    <row r="4" spans="2:43" ht="14.25" customHeight="1">
      <c r="B4" s="164" t="s">
        <v>58</v>
      </c>
      <c r="C4" s="96"/>
      <c r="D4" s="95"/>
      <c r="E4" s="3"/>
      <c r="F4" s="3"/>
      <c r="G4" s="167" t="s">
        <v>27</v>
      </c>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row>
    <row r="5" spans="2:43" ht="28.5" customHeight="1">
      <c r="B5" s="165"/>
      <c r="C5" s="25" t="s">
        <v>155</v>
      </c>
      <c r="D5" s="25" t="s">
        <v>152</v>
      </c>
      <c r="E5" s="73" t="s">
        <v>150</v>
      </c>
      <c r="F5" s="73" t="s">
        <v>117</v>
      </c>
      <c r="G5" s="24" t="s">
        <v>116</v>
      </c>
      <c r="H5" s="25" t="s">
        <v>112</v>
      </c>
      <c r="I5" s="25" t="s">
        <v>108</v>
      </c>
      <c r="J5" s="25" t="s">
        <v>104</v>
      </c>
      <c r="K5" s="24" t="s">
        <v>140</v>
      </c>
      <c r="L5" s="25" t="s">
        <v>141</v>
      </c>
      <c r="M5" s="25" t="s">
        <v>142</v>
      </c>
      <c r="N5" s="25" t="s">
        <v>143</v>
      </c>
      <c r="O5" s="24" t="s">
        <v>144</v>
      </c>
      <c r="P5" s="25" t="s">
        <v>145</v>
      </c>
      <c r="Q5" s="25" t="s">
        <v>146</v>
      </c>
      <c r="R5" s="26" t="s">
        <v>147</v>
      </c>
      <c r="S5" s="24" t="s">
        <v>99</v>
      </c>
      <c r="T5" s="25" t="s">
        <v>96</v>
      </c>
      <c r="U5" s="25" t="s">
        <v>95</v>
      </c>
      <c r="V5" s="26" t="s">
        <v>94</v>
      </c>
      <c r="W5" s="24" t="s">
        <v>92</v>
      </c>
      <c r="X5" s="25" t="s">
        <v>89</v>
      </c>
      <c r="Y5" s="25" t="s">
        <v>88</v>
      </c>
      <c r="Z5" s="26" t="s">
        <v>87</v>
      </c>
      <c r="AA5" s="24" t="s">
        <v>85</v>
      </c>
      <c r="AB5" s="25" t="s">
        <v>84</v>
      </c>
      <c r="AC5" s="25" t="s">
        <v>83</v>
      </c>
      <c r="AD5" s="26" t="s">
        <v>70</v>
      </c>
      <c r="AE5" s="24" t="s">
        <v>71</v>
      </c>
      <c r="AF5" s="25" t="s">
        <v>72</v>
      </c>
      <c r="AG5" s="25" t="s">
        <v>73</v>
      </c>
      <c r="AH5" s="26" t="s">
        <v>74</v>
      </c>
      <c r="AI5" s="24" t="s">
        <v>75</v>
      </c>
      <c r="AJ5" s="25" t="s">
        <v>76</v>
      </c>
      <c r="AK5" s="25" t="s">
        <v>77</v>
      </c>
      <c r="AL5" s="26" t="s">
        <v>78</v>
      </c>
      <c r="AM5" s="24" t="s">
        <v>79</v>
      </c>
      <c r="AN5" s="25" t="s">
        <v>80</v>
      </c>
      <c r="AO5" s="25" t="s">
        <v>81</v>
      </c>
      <c r="AP5" s="26" t="s">
        <v>82</v>
      </c>
    </row>
    <row r="6" spans="2:43" s="1" customFormat="1">
      <c r="B6" s="9" t="s">
        <v>10</v>
      </c>
      <c r="C6" s="129">
        <v>579142</v>
      </c>
      <c r="D6" s="157">
        <f>SUM(D7:D15)</f>
        <v>348782</v>
      </c>
      <c r="E6" s="77">
        <f>SUM(E7:E15)</f>
        <v>558812</v>
      </c>
      <c r="F6" s="77">
        <f>SUM(F7:F15)</f>
        <v>557846</v>
      </c>
      <c r="G6" s="87">
        <f>SUM(G7:G15)</f>
        <v>444504</v>
      </c>
      <c r="H6" s="84">
        <f t="shared" ref="H6:I6" si="0">SUM(H7:H15)</f>
        <v>453153</v>
      </c>
      <c r="I6" s="84">
        <f t="shared" si="0"/>
        <v>363320</v>
      </c>
      <c r="J6" s="88">
        <f>SUM(J7:J15)</f>
        <v>539598</v>
      </c>
      <c r="K6" s="89">
        <f>SUM(K7:K15)</f>
        <v>488865</v>
      </c>
      <c r="L6" s="77">
        <f t="shared" ref="L6:M6" si="1">SUM(L7:L15)</f>
        <v>272943</v>
      </c>
      <c r="M6" s="77">
        <f t="shared" si="1"/>
        <v>284137</v>
      </c>
      <c r="N6" s="90">
        <f>SUM(N7:N15)</f>
        <v>528546</v>
      </c>
      <c r="O6" s="89">
        <f>SUM(O7:O15)</f>
        <v>214476</v>
      </c>
      <c r="P6" s="77">
        <f t="shared" ref="P6:Q6" si="2">SUM(P7:P15)</f>
        <v>389568</v>
      </c>
      <c r="Q6" s="77">
        <f t="shared" si="2"/>
        <v>394991</v>
      </c>
      <c r="R6" s="90">
        <f>SUM(R7:R15)</f>
        <v>438125</v>
      </c>
      <c r="S6" s="89">
        <f>SUM(S7:S15)</f>
        <v>180549</v>
      </c>
      <c r="T6" s="77">
        <f t="shared" ref="T6:U6" si="3">SUM(T7:T15)</f>
        <v>198731</v>
      </c>
      <c r="U6" s="77">
        <f t="shared" si="3"/>
        <v>53777</v>
      </c>
      <c r="V6" s="90">
        <f>SUM(V7:V15)</f>
        <v>185396</v>
      </c>
      <c r="W6" s="89">
        <f>SUM(W7:W15)</f>
        <v>138742</v>
      </c>
      <c r="X6" s="77">
        <f t="shared" ref="X6:Y6" si="4">SUM(X7:X15)</f>
        <v>138648</v>
      </c>
      <c r="Y6" s="77">
        <f t="shared" si="4"/>
        <v>210389</v>
      </c>
      <c r="Z6" s="90">
        <f>SUM(Z7:Z15)</f>
        <v>305009</v>
      </c>
      <c r="AA6" s="89">
        <f>SUM(AA7:AA15)</f>
        <v>87877</v>
      </c>
      <c r="AB6" s="77">
        <f t="shared" ref="AB6:AC6" si="5">SUM(AB7:AB15)</f>
        <v>59792</v>
      </c>
      <c r="AC6" s="77">
        <f t="shared" si="5"/>
        <v>46184</v>
      </c>
      <c r="AD6" s="90">
        <f>SUM(AD7:AD15)</f>
        <v>39253</v>
      </c>
      <c r="AE6" s="89">
        <f>SUM(AE7:AE15)</f>
        <v>41143</v>
      </c>
      <c r="AF6" s="77">
        <f t="shared" ref="AF6:AG6" si="6">SUM(AF7:AF15)</f>
        <v>46014</v>
      </c>
      <c r="AG6" s="77">
        <f t="shared" si="6"/>
        <v>81765</v>
      </c>
      <c r="AH6" s="90">
        <f>SUM(AH7:AH15)</f>
        <v>112551</v>
      </c>
      <c r="AI6" s="89">
        <f>SUM(AI7:AI15)</f>
        <v>74232</v>
      </c>
      <c r="AJ6" s="77">
        <f t="shared" ref="AJ6:AK6" si="7">SUM(AJ7:AJ15)</f>
        <v>71996</v>
      </c>
      <c r="AK6" s="77">
        <f t="shared" si="7"/>
        <v>65310</v>
      </c>
      <c r="AL6" s="90">
        <f>SUM(AL7:AL15)</f>
        <v>57650</v>
      </c>
      <c r="AM6" s="89">
        <f>SUM(AM7:AM15)</f>
        <v>92628</v>
      </c>
      <c r="AN6" s="77">
        <f t="shared" ref="AN6:AO6" si="8">SUM(AN7:AN15)</f>
        <v>41494</v>
      </c>
      <c r="AO6" s="77">
        <f t="shared" si="8"/>
        <v>29629</v>
      </c>
      <c r="AP6" s="90">
        <f>SUM(AP7:AP15)</f>
        <v>81465</v>
      </c>
      <c r="AQ6" s="14"/>
    </row>
    <row r="7" spans="2:43" s="1" customFormat="1" ht="14" hidden="1" customHeight="1" outlineLevel="1">
      <c r="B7" s="75" t="s">
        <v>120</v>
      </c>
      <c r="C7" s="137">
        <v>365796</v>
      </c>
      <c r="D7" s="174">
        <v>178015</v>
      </c>
      <c r="E7" s="78">
        <v>213120</v>
      </c>
      <c r="F7" s="78">
        <v>166783</v>
      </c>
      <c r="G7" s="91">
        <f>896672-H7-I7-J7</f>
        <v>268567</v>
      </c>
      <c r="H7" s="78">
        <v>178586</v>
      </c>
      <c r="I7" s="78">
        <f>449519-J7</f>
        <v>180087</v>
      </c>
      <c r="J7" s="92">
        <v>269432</v>
      </c>
      <c r="K7" s="91">
        <f>650847-L7-M7-N7</f>
        <v>189966</v>
      </c>
      <c r="L7" s="78">
        <v>137259</v>
      </c>
      <c r="M7" s="78">
        <f>323622-N7</f>
        <v>58909</v>
      </c>
      <c r="N7" s="92">
        <v>264713</v>
      </c>
      <c r="O7" s="91">
        <f>501314-P7-Q7-R7</f>
        <v>92403</v>
      </c>
      <c r="P7" s="78">
        <v>111421</v>
      </c>
      <c r="Q7" s="78">
        <f>297490-R7</f>
        <v>162411</v>
      </c>
      <c r="R7" s="92">
        <v>135079</v>
      </c>
      <c r="S7" s="91">
        <f>313948-T7-U7-V7</f>
        <v>41129</v>
      </c>
      <c r="T7" s="78">
        <v>118572</v>
      </c>
      <c r="U7" s="78">
        <f>154247-V7</f>
        <v>52764</v>
      </c>
      <c r="V7" s="92">
        <v>101483</v>
      </c>
      <c r="W7" s="91">
        <f>263949-X7-Y7-Z7</f>
        <v>21640</v>
      </c>
      <c r="X7" s="78">
        <v>32266</v>
      </c>
      <c r="Y7" s="78">
        <f>210043-Z7</f>
        <v>53498</v>
      </c>
      <c r="Z7" s="92">
        <v>156545</v>
      </c>
      <c r="AA7" s="91">
        <f>12021-AB7-AC7-AD7</f>
        <v>815</v>
      </c>
      <c r="AB7" s="78">
        <v>5256</v>
      </c>
      <c r="AC7" s="78">
        <f>5950-AD7</f>
        <v>3270</v>
      </c>
      <c r="AD7" s="92">
        <v>2680</v>
      </c>
      <c r="AE7" s="91">
        <f>69499-AF7-AG7-AH7</f>
        <v>9316</v>
      </c>
      <c r="AF7" s="78">
        <v>27865</v>
      </c>
      <c r="AG7" s="78">
        <f>32318-AH7</f>
        <v>20972</v>
      </c>
      <c r="AH7" s="92">
        <v>11346</v>
      </c>
      <c r="AI7" s="91">
        <f>33098-AJ7-AK7-AL7</f>
        <v>9710</v>
      </c>
      <c r="AJ7" s="78">
        <v>5544</v>
      </c>
      <c r="AK7" s="78">
        <f>17844-AL7</f>
        <v>15013</v>
      </c>
      <c r="AL7" s="92">
        <v>2831</v>
      </c>
      <c r="AM7" s="91">
        <f>58069-AN7-AO7-AP7</f>
        <v>27022</v>
      </c>
      <c r="AN7" s="78">
        <v>11609</v>
      </c>
      <c r="AO7" s="78">
        <v>4756</v>
      </c>
      <c r="AP7" s="92">
        <v>14682</v>
      </c>
      <c r="AQ7" s="14"/>
    </row>
    <row r="8" spans="2:43" s="1" customFormat="1" ht="14" hidden="1" customHeight="1" outlineLevel="1">
      <c r="B8" s="75" t="s">
        <v>121</v>
      </c>
      <c r="C8" s="137">
        <v>109495</v>
      </c>
      <c r="D8" s="174">
        <v>118984</v>
      </c>
      <c r="E8" s="78">
        <v>232594</v>
      </c>
      <c r="F8" s="78">
        <v>299663</v>
      </c>
      <c r="G8" s="91">
        <f>622728-H8-I8-J8</f>
        <v>66092</v>
      </c>
      <c r="H8" s="78">
        <v>209517</v>
      </c>
      <c r="I8" s="78">
        <f>347119-J8</f>
        <v>114953</v>
      </c>
      <c r="J8" s="92">
        <v>232166</v>
      </c>
      <c r="K8" s="91">
        <f>781285-L8-M8-N8</f>
        <v>271873</v>
      </c>
      <c r="L8" s="78">
        <v>73133</v>
      </c>
      <c r="M8" s="78">
        <f>436279-N8</f>
        <v>190467</v>
      </c>
      <c r="N8" s="92">
        <v>245812</v>
      </c>
      <c r="O8" s="91">
        <f>687424-P8-Q8-R8</f>
        <v>118636</v>
      </c>
      <c r="P8" s="78">
        <v>150892</v>
      </c>
      <c r="Q8" s="78">
        <f>417896-R8</f>
        <v>160989</v>
      </c>
      <c r="R8" s="92">
        <v>256907</v>
      </c>
      <c r="S8" s="91">
        <f>209304-T8-U8-V8</f>
        <v>61899</v>
      </c>
      <c r="T8" s="78">
        <v>45783</v>
      </c>
      <c r="U8" s="78">
        <f>101622-V8</f>
        <v>26495</v>
      </c>
      <c r="V8" s="92">
        <v>75127</v>
      </c>
      <c r="W8" s="91">
        <f>425917-X8-Y8-Z8</f>
        <v>99935</v>
      </c>
      <c r="X8" s="78">
        <v>73164</v>
      </c>
      <c r="Y8" s="78">
        <f>252818-Z8</f>
        <v>142136</v>
      </c>
      <c r="Z8" s="92">
        <v>110682</v>
      </c>
      <c r="AA8" s="91">
        <f>175116-AB8-AC8-AD8</f>
        <v>80584</v>
      </c>
      <c r="AB8" s="78">
        <v>21937</v>
      </c>
      <c r="AC8" s="78">
        <f>72595-AD8</f>
        <v>37232</v>
      </c>
      <c r="AD8" s="92">
        <v>35363</v>
      </c>
      <c r="AE8" s="91">
        <f>141924-AF8-AG8-AH8</f>
        <v>32910</v>
      </c>
      <c r="AF8" s="78">
        <v>8786</v>
      </c>
      <c r="AG8" s="78">
        <f>100228-AH8</f>
        <v>34694</v>
      </c>
      <c r="AH8" s="92">
        <v>65534</v>
      </c>
      <c r="AI8" s="91">
        <f>168852-AJ8-AK8-AL8</f>
        <v>67797</v>
      </c>
      <c r="AJ8" s="78">
        <v>36530</v>
      </c>
      <c r="AK8" s="78">
        <f>64525-AL8</f>
        <v>21276</v>
      </c>
      <c r="AL8" s="92">
        <v>43249</v>
      </c>
      <c r="AM8" s="91">
        <f>117756-AN8-AO8-AP8</f>
        <v>26977</v>
      </c>
      <c r="AN8" s="78">
        <v>27111</v>
      </c>
      <c r="AO8" s="78">
        <v>19820</v>
      </c>
      <c r="AP8" s="92">
        <v>43848</v>
      </c>
      <c r="AQ8" s="14"/>
    </row>
    <row r="9" spans="2:43" s="1" customFormat="1" ht="14" hidden="1" customHeight="1" outlineLevel="1">
      <c r="B9" s="75" t="s">
        <v>122</v>
      </c>
      <c r="C9" s="137">
        <v>71891</v>
      </c>
      <c r="D9" s="174">
        <v>39589</v>
      </c>
      <c r="E9" s="78">
        <v>101650</v>
      </c>
      <c r="F9" s="78">
        <v>77278</v>
      </c>
      <c r="G9" s="91">
        <f>272276-H9-I9-J9</f>
        <v>108716</v>
      </c>
      <c r="H9" s="78">
        <v>68005</v>
      </c>
      <c r="I9" s="78">
        <f>95555-J9</f>
        <v>58702</v>
      </c>
      <c r="J9" s="92">
        <v>36853</v>
      </c>
      <c r="K9" s="91">
        <f>165161-L9-M9-N9</f>
        <v>36117</v>
      </c>
      <c r="L9" s="78">
        <v>63968</v>
      </c>
      <c r="M9" s="78">
        <f>65076-N9</f>
        <v>42224</v>
      </c>
      <c r="N9" s="92">
        <v>22852</v>
      </c>
      <c r="O9" s="91">
        <f>251429-P9-Q9-R9</f>
        <v>12739</v>
      </c>
      <c r="P9" s="78">
        <v>124222</v>
      </c>
      <c r="Q9" s="78">
        <f>114468-R9</f>
        <v>72621</v>
      </c>
      <c r="R9" s="92">
        <v>41847</v>
      </c>
      <c r="S9" s="91">
        <f>79761-T9-U9-V9</f>
        <v>67108</v>
      </c>
      <c r="T9" s="78">
        <v>31986</v>
      </c>
      <c r="U9" s="78">
        <f>-19333-V9</f>
        <v>-24364</v>
      </c>
      <c r="V9" s="92">
        <v>5031</v>
      </c>
      <c r="W9" s="91">
        <f>91951-X9-Y9-Z9</f>
        <v>18901</v>
      </c>
      <c r="X9" s="78">
        <v>28307</v>
      </c>
      <c r="Y9" s="78">
        <f>44743-Z9</f>
        <v>10695</v>
      </c>
      <c r="Z9" s="92">
        <v>34048</v>
      </c>
      <c r="AA9" s="91">
        <f>42624-AB9-AC9-AD9</f>
        <v>6163</v>
      </c>
      <c r="AB9" s="78">
        <v>31125</v>
      </c>
      <c r="AC9" s="78">
        <f>5336-AD9</f>
        <v>4903</v>
      </c>
      <c r="AD9" s="92">
        <v>433</v>
      </c>
      <c r="AE9" s="91">
        <f>67192-AF9-AG9-AH9</f>
        <v>-874</v>
      </c>
      <c r="AF9" s="78">
        <v>10445</v>
      </c>
      <c r="AG9" s="78">
        <f>57621-AH9</f>
        <v>24343</v>
      </c>
      <c r="AH9" s="92">
        <v>33278</v>
      </c>
      <c r="AI9" s="91">
        <f>67659-AJ9-AK9-AL9</f>
        <v>-2463</v>
      </c>
      <c r="AJ9" s="78">
        <v>29380</v>
      </c>
      <c r="AK9" s="78">
        <f>40742-AL9</f>
        <v>28960</v>
      </c>
      <c r="AL9" s="92">
        <v>11782</v>
      </c>
      <c r="AM9" s="91">
        <f>71385-AN9-AO9-AP9</f>
        <v>39500</v>
      </c>
      <c r="AN9" s="78">
        <v>3742</v>
      </c>
      <c r="AO9" s="78">
        <v>5932</v>
      </c>
      <c r="AP9" s="92">
        <v>22211</v>
      </c>
      <c r="AQ9" s="14"/>
    </row>
    <row r="10" spans="2:43" s="1" customFormat="1" ht="14" hidden="1" customHeight="1" outlineLevel="1">
      <c r="B10" s="75" t="s">
        <v>123</v>
      </c>
      <c r="C10" s="137">
        <v>14516</v>
      </c>
      <c r="D10" s="174">
        <v>24633</v>
      </c>
      <c r="E10" s="78">
        <v>14400</v>
      </c>
      <c r="F10" s="78">
        <v>6498</v>
      </c>
      <c r="G10" s="91">
        <f>44762-H10-I10-J10</f>
        <v>15129</v>
      </c>
      <c r="H10" s="78">
        <v>8700</v>
      </c>
      <c r="I10" s="78">
        <f>20933-J10</f>
        <v>14052</v>
      </c>
      <c r="J10" s="92">
        <v>6881</v>
      </c>
      <c r="K10" s="91">
        <f>24261-L10-M10-N10</f>
        <v>2677</v>
      </c>
      <c r="L10" s="78">
        <v>12219</v>
      </c>
      <c r="M10" s="78">
        <f>9365-N10</f>
        <v>2422</v>
      </c>
      <c r="N10" s="92">
        <v>6943</v>
      </c>
      <c r="O10" s="91">
        <f>36816-P10-Q10-R10</f>
        <v>1117</v>
      </c>
      <c r="P10" s="78">
        <v>12550</v>
      </c>
      <c r="Q10" s="78">
        <f>23149-R10</f>
        <v>11019</v>
      </c>
      <c r="R10" s="92">
        <v>12130</v>
      </c>
      <c r="S10" s="91">
        <f>34885-T10-U10-V10</f>
        <v>16496</v>
      </c>
      <c r="T10" s="78">
        <v>8167</v>
      </c>
      <c r="U10" s="78">
        <f>10222-V10</f>
        <v>3573</v>
      </c>
      <c r="V10" s="92">
        <v>6649</v>
      </c>
      <c r="W10" s="91">
        <f>12885-X10-Y10-Z10</f>
        <v>4373</v>
      </c>
      <c r="X10" s="78">
        <v>4112</v>
      </c>
      <c r="Y10" s="78">
        <f>4400-Z10</f>
        <v>1900</v>
      </c>
      <c r="Z10" s="92">
        <v>2500</v>
      </c>
      <c r="AA10" s="91">
        <f>2313-AB10-AC10-AD10</f>
        <v>-56</v>
      </c>
      <c r="AB10" s="78">
        <v>1207</v>
      </c>
      <c r="AC10" s="78">
        <f>1162-AD10</f>
        <v>535</v>
      </c>
      <c r="AD10" s="92">
        <v>627</v>
      </c>
      <c r="AE10" s="91">
        <f>2878-AF10-AG10-AH10</f>
        <v>423</v>
      </c>
      <c r="AF10" s="78">
        <v>187</v>
      </c>
      <c r="AG10" s="78">
        <f>2268-AH10</f>
        <v>1312</v>
      </c>
      <c r="AH10" s="92">
        <v>956</v>
      </c>
      <c r="AI10" s="91">
        <f>1899-AJ10-AK10-AL10</f>
        <v>-972</v>
      </c>
      <c r="AJ10" s="78">
        <v>918</v>
      </c>
      <c r="AK10" s="78">
        <f>1953-AL10</f>
        <v>1482</v>
      </c>
      <c r="AL10" s="92">
        <v>471</v>
      </c>
      <c r="AM10" s="91">
        <f>1454-AN10-AO10-AP10</f>
        <v>510</v>
      </c>
      <c r="AN10" s="78">
        <v>389</v>
      </c>
      <c r="AO10" s="78">
        <v>259</v>
      </c>
      <c r="AP10" s="92">
        <v>296</v>
      </c>
      <c r="AQ10" s="14"/>
    </row>
    <row r="11" spans="2:43" s="1" customFormat="1" ht="14" hidden="1" customHeight="1" outlineLevel="1">
      <c r="B11" s="75" t="s">
        <v>124</v>
      </c>
      <c r="C11" s="137">
        <v>37</v>
      </c>
      <c r="D11" s="75">
        <v>7</v>
      </c>
      <c r="E11" s="78">
        <v>-11</v>
      </c>
      <c r="F11" s="78">
        <v>68</v>
      </c>
      <c r="G11" s="91">
        <f>735-H11-I11-J11</f>
        <v>465</v>
      </c>
      <c r="H11" s="78">
        <v>-158</v>
      </c>
      <c r="I11" s="78">
        <f>428-J11</f>
        <v>170</v>
      </c>
      <c r="J11" s="92">
        <v>258</v>
      </c>
      <c r="K11" s="91">
        <f>1079-L11-M11-N11</f>
        <v>-94</v>
      </c>
      <c r="L11" s="78">
        <v>480</v>
      </c>
      <c r="M11" s="78">
        <f>693-N11</f>
        <v>516</v>
      </c>
      <c r="N11" s="92">
        <v>177</v>
      </c>
      <c r="O11" s="91">
        <f>796-P11-Q11-R11</f>
        <v>248</v>
      </c>
      <c r="P11" s="78">
        <v>1778</v>
      </c>
      <c r="Q11" s="78">
        <f>-1230-R11</f>
        <v>149</v>
      </c>
      <c r="R11" s="92">
        <v>-1379</v>
      </c>
      <c r="S11" s="91">
        <f>223-T11-U11-V11</f>
        <v>86</v>
      </c>
      <c r="T11" s="78">
        <v>60</v>
      </c>
      <c r="U11" s="78">
        <f>77-V11</f>
        <v>-1</v>
      </c>
      <c r="V11" s="92">
        <v>78</v>
      </c>
      <c r="W11" s="91">
        <f>198-X11-Y11-Z11</f>
        <v>6</v>
      </c>
      <c r="X11" s="78">
        <v>54</v>
      </c>
      <c r="Y11" s="78">
        <f>138-Z11</f>
        <v>-25</v>
      </c>
      <c r="Z11" s="92">
        <v>163</v>
      </c>
      <c r="AA11" s="91">
        <f>771-AB11-AC11-AD11</f>
        <v>-296</v>
      </c>
      <c r="AB11" s="78">
        <v>404</v>
      </c>
      <c r="AC11" s="78">
        <f>663-AD11</f>
        <v>334</v>
      </c>
      <c r="AD11" s="92">
        <v>329</v>
      </c>
      <c r="AE11" s="91">
        <f>589-AF11-AG11-AH11</f>
        <v>272</v>
      </c>
      <c r="AF11" s="78">
        <v>-5</v>
      </c>
      <c r="AG11" s="78">
        <f>322-AH11</f>
        <v>173</v>
      </c>
      <c r="AH11" s="92">
        <v>149</v>
      </c>
      <c r="AI11" s="91">
        <f>-83-AJ11-AK11-AL11</f>
        <v>3</v>
      </c>
      <c r="AJ11" s="78">
        <v>171</v>
      </c>
      <c r="AK11" s="78">
        <f>-257-AL11</f>
        <v>-134</v>
      </c>
      <c r="AL11" s="92">
        <v>-123</v>
      </c>
      <c r="AM11" s="91">
        <f>1116-AN11-AO11-AP11</f>
        <v>-235</v>
      </c>
      <c r="AN11" s="78">
        <v>113</v>
      </c>
      <c r="AO11" s="78">
        <v>371</v>
      </c>
      <c r="AP11" s="92">
        <v>867</v>
      </c>
      <c r="AQ11" s="14"/>
    </row>
    <row r="12" spans="2:43" s="1" customFormat="1" ht="14" hidden="1" customHeight="1" outlineLevel="1">
      <c r="B12" s="75" t="s">
        <v>125</v>
      </c>
      <c r="C12" s="130">
        <v>0</v>
      </c>
      <c r="D12" s="113">
        <v>0</v>
      </c>
      <c r="E12" s="78">
        <v>0</v>
      </c>
      <c r="F12" s="78">
        <v>0</v>
      </c>
      <c r="G12" s="91">
        <v>0</v>
      </c>
      <c r="H12" s="78">
        <v>0</v>
      </c>
      <c r="I12" s="78">
        <v>0</v>
      </c>
      <c r="J12" s="92">
        <v>0</v>
      </c>
      <c r="K12" s="91">
        <v>0</v>
      </c>
      <c r="L12" s="78">
        <v>0</v>
      </c>
      <c r="M12" s="78">
        <v>0</v>
      </c>
      <c r="N12" s="92">
        <v>0</v>
      </c>
      <c r="O12" s="91">
        <v>0</v>
      </c>
      <c r="P12" s="78">
        <v>0</v>
      </c>
      <c r="Q12" s="78">
        <v>0</v>
      </c>
      <c r="R12" s="92">
        <v>0</v>
      </c>
      <c r="S12" s="91">
        <v>0</v>
      </c>
      <c r="T12" s="78">
        <v>0</v>
      </c>
      <c r="U12" s="78">
        <v>0</v>
      </c>
      <c r="V12" s="92">
        <v>0</v>
      </c>
      <c r="W12" s="91">
        <v>0</v>
      </c>
      <c r="X12" s="78">
        <v>0</v>
      </c>
      <c r="Y12" s="78">
        <v>0</v>
      </c>
      <c r="Z12" s="92">
        <v>0</v>
      </c>
      <c r="AA12" s="91">
        <v>0</v>
      </c>
      <c r="AB12" s="78">
        <v>0</v>
      </c>
      <c r="AC12" s="78">
        <v>0</v>
      </c>
      <c r="AD12" s="92">
        <v>0</v>
      </c>
      <c r="AE12" s="91">
        <v>0</v>
      </c>
      <c r="AF12" s="78">
        <v>0</v>
      </c>
      <c r="AG12" s="78">
        <f>3947-AH12</f>
        <v>1245</v>
      </c>
      <c r="AH12" s="92">
        <v>2702</v>
      </c>
      <c r="AI12" s="91">
        <f>6884-AJ12-AK12-AL12</f>
        <v>1765</v>
      </c>
      <c r="AJ12" s="78">
        <v>1376</v>
      </c>
      <c r="AK12" s="78">
        <f>3743-AL12</f>
        <v>1661</v>
      </c>
      <c r="AL12" s="92">
        <v>2082</v>
      </c>
      <c r="AM12" s="91">
        <f>5332-AN12-AO12-AP12</f>
        <v>1980</v>
      </c>
      <c r="AN12" s="78">
        <v>1114</v>
      </c>
      <c r="AO12" s="78">
        <v>961</v>
      </c>
      <c r="AP12" s="92">
        <v>1277</v>
      </c>
      <c r="AQ12" s="14"/>
    </row>
    <row r="13" spans="2:43" s="1" customFormat="1" ht="14" hidden="1" customHeight="1" outlineLevel="1">
      <c r="B13" s="75" t="s">
        <v>126</v>
      </c>
      <c r="C13" s="137">
        <v>36399</v>
      </c>
      <c r="D13" s="174">
        <v>5783</v>
      </c>
      <c r="E13" s="78">
        <v>13240</v>
      </c>
      <c r="F13" s="78">
        <v>22888</v>
      </c>
      <c r="G13" s="91">
        <f>30654-H13-I13-J13</f>
        <v>9391</v>
      </c>
      <c r="H13" s="78">
        <v>2439</v>
      </c>
      <c r="I13" s="78">
        <f>18824-J13</f>
        <v>10697</v>
      </c>
      <c r="J13" s="92">
        <v>8127</v>
      </c>
      <c r="K13" s="91">
        <f>11050-L13-M13-N13</f>
        <v>3544</v>
      </c>
      <c r="L13" s="78">
        <v>961</v>
      </c>
      <c r="M13" s="78">
        <f>6545-N13</f>
        <v>4147</v>
      </c>
      <c r="N13" s="92">
        <v>2398</v>
      </c>
      <c r="O13" s="91">
        <f>3494-P13-Q13-R13</f>
        <v>902</v>
      </c>
      <c r="P13" s="78">
        <v>441</v>
      </c>
      <c r="Q13" s="78">
        <f>2151-R13</f>
        <v>-572</v>
      </c>
      <c r="R13" s="92">
        <v>2723</v>
      </c>
      <c r="S13" s="91">
        <f>-689-T13-U13-V13</f>
        <v>1574</v>
      </c>
      <c r="T13" s="78">
        <v>-796</v>
      </c>
      <c r="U13" s="78">
        <f>-1467-V13</f>
        <v>-1606</v>
      </c>
      <c r="V13" s="92">
        <v>139</v>
      </c>
      <c r="W13" s="91">
        <f>4988-X13-Y13-Z13</f>
        <v>-3888</v>
      </c>
      <c r="X13" s="78">
        <v>2878</v>
      </c>
      <c r="Y13" s="78">
        <f>5998-Z13</f>
        <v>4159</v>
      </c>
      <c r="Z13" s="92">
        <v>1839</v>
      </c>
      <c r="AA13" s="91">
        <f>1199-AB13-AC13-AD13</f>
        <v>531</v>
      </c>
      <c r="AB13" s="78">
        <v>268</v>
      </c>
      <c r="AC13" s="78">
        <f>400-AD13</f>
        <v>222</v>
      </c>
      <c r="AD13" s="92">
        <v>178</v>
      </c>
      <c r="AE13" s="91">
        <f>99-AH13-AG13-AF13</f>
        <v>87</v>
      </c>
      <c r="AF13" s="78">
        <v>46</v>
      </c>
      <c r="AG13" s="78">
        <f>-34-AH13</f>
        <v>-42</v>
      </c>
      <c r="AH13" s="92">
        <v>8</v>
      </c>
      <c r="AI13" s="91">
        <f>-AJ13-AK13</f>
        <v>859</v>
      </c>
      <c r="AJ13" s="78">
        <v>-3</v>
      </c>
      <c r="AK13" s="78">
        <v>-856</v>
      </c>
      <c r="AL13" s="92"/>
      <c r="AM13" s="91"/>
      <c r="AN13" s="78">
        <v>0</v>
      </c>
      <c r="AO13" s="78">
        <v>0</v>
      </c>
      <c r="AP13" s="92">
        <v>0</v>
      </c>
      <c r="AQ13" s="14"/>
    </row>
    <row r="14" spans="2:43" s="1" customFormat="1" ht="14" hidden="1" customHeight="1" outlineLevel="1">
      <c r="B14" s="75" t="s">
        <v>127</v>
      </c>
      <c r="C14" s="130">
        <v>-4797</v>
      </c>
      <c r="D14" s="113">
        <v>-4271</v>
      </c>
      <c r="E14" s="78">
        <v>-4488</v>
      </c>
      <c r="F14" s="78">
        <v>-3772</v>
      </c>
      <c r="G14" s="91">
        <f>-12629-H14-I14-J14</f>
        <v>-6337</v>
      </c>
      <c r="H14" s="78">
        <v>-2650</v>
      </c>
      <c r="I14" s="78">
        <f>-3642-J14</f>
        <v>-2053</v>
      </c>
      <c r="J14" s="92">
        <v>-1589</v>
      </c>
      <c r="K14" s="91">
        <f>-9428-L14-M14-N14</f>
        <v>-2310</v>
      </c>
      <c r="L14" s="78">
        <v>-1175</v>
      </c>
      <c r="M14" s="78">
        <f>-5943-N14</f>
        <v>-3345</v>
      </c>
      <c r="N14" s="92">
        <v>-2598</v>
      </c>
      <c r="O14" s="91">
        <f>-5653-P14-Q14-R14</f>
        <v>-1487</v>
      </c>
      <c r="P14" s="78">
        <v>-1497</v>
      </c>
      <c r="Q14" s="78">
        <f>-2669-R14</f>
        <v>-1486</v>
      </c>
      <c r="R14" s="92">
        <v>-1183</v>
      </c>
      <c r="S14" s="91">
        <f>-2700-T14-U14-V14</f>
        <v>-1131</v>
      </c>
      <c r="T14" s="78">
        <v>-467</v>
      </c>
      <c r="U14" s="78">
        <f>-1102-V14</f>
        <v>-451</v>
      </c>
      <c r="V14" s="92">
        <v>-651</v>
      </c>
      <c r="W14" s="91">
        <f>-1580-X14-Y14-Z14</f>
        <v>-494</v>
      </c>
      <c r="X14" s="78">
        <v>-627</v>
      </c>
      <c r="Y14" s="78">
        <f>-459-Z14</f>
        <v>-340</v>
      </c>
      <c r="Z14" s="92">
        <v>-119</v>
      </c>
      <c r="AA14" s="91">
        <f>-300-AB14-AC14-AD14</f>
        <v>-150</v>
      </c>
      <c r="AB14" s="78">
        <v>-61</v>
      </c>
      <c r="AC14" s="78">
        <f>-89-AD14</f>
        <v>-18</v>
      </c>
      <c r="AD14" s="92">
        <v>-71</v>
      </c>
      <c r="AE14" s="91">
        <f>-3363-AF14-AG14-AH14</f>
        <v>-732</v>
      </c>
      <c r="AF14" s="78">
        <v>-1049</v>
      </c>
      <c r="AG14" s="78">
        <f>-1582-AH14</f>
        <v>-650</v>
      </c>
      <c r="AH14" s="92">
        <v>-932</v>
      </c>
      <c r="AI14" s="91">
        <f>-3421-AJ14-AK14-AL14</f>
        <v>-595</v>
      </c>
      <c r="AJ14" s="78">
        <v>-1051</v>
      </c>
      <c r="AK14" s="78">
        <f>-1775-AL14</f>
        <v>-978</v>
      </c>
      <c r="AL14" s="92">
        <v>-797</v>
      </c>
      <c r="AM14" s="91">
        <f>-3531-AN14-AO14-AP14</f>
        <v>-768</v>
      </c>
      <c r="AN14" s="78">
        <v>-663</v>
      </c>
      <c r="AO14" s="78">
        <v>-1213</v>
      </c>
      <c r="AP14" s="92">
        <v>-887</v>
      </c>
      <c r="AQ14" s="14"/>
    </row>
    <row r="15" spans="2:43" s="1" customFormat="1" ht="14" hidden="1" customHeight="1" outlineLevel="1">
      <c r="B15" s="75" t="s">
        <v>128</v>
      </c>
      <c r="C15" s="130">
        <v>-14195</v>
      </c>
      <c r="D15" s="113">
        <v>-13958</v>
      </c>
      <c r="E15" s="78">
        <v>-11693</v>
      </c>
      <c r="F15" s="78">
        <v>-11560</v>
      </c>
      <c r="G15" s="91">
        <f>-54623-H15-I15-J15</f>
        <v>-17519</v>
      </c>
      <c r="H15" s="78">
        <v>-11286</v>
      </c>
      <c r="I15" s="78">
        <f>-25818-J15</f>
        <v>-13288</v>
      </c>
      <c r="J15" s="92">
        <v>-12530</v>
      </c>
      <c r="K15" s="91">
        <f>-49764-L15-M15-N15</f>
        <v>-12908</v>
      </c>
      <c r="L15" s="78">
        <v>-13902</v>
      </c>
      <c r="M15" s="78">
        <f>-22954-N15</f>
        <v>-11203</v>
      </c>
      <c r="N15" s="92">
        <v>-11751</v>
      </c>
      <c r="O15" s="91">
        <f>-38460-P15-Q15-R15</f>
        <v>-10082</v>
      </c>
      <c r="P15" s="78">
        <v>-10239</v>
      </c>
      <c r="Q15" s="78">
        <f>-18139-R15</f>
        <v>-10140</v>
      </c>
      <c r="R15" s="92">
        <v>-7999</v>
      </c>
      <c r="S15" s="91">
        <f>-16279-T15-U15-V15</f>
        <v>-6612</v>
      </c>
      <c r="T15" s="78">
        <v>-4574</v>
      </c>
      <c r="U15" s="78">
        <f>-5093-V15</f>
        <v>-2633</v>
      </c>
      <c r="V15" s="92">
        <v>-2460</v>
      </c>
      <c r="W15" s="91">
        <f>-5520-X15-Y15-Z15</f>
        <v>-1731</v>
      </c>
      <c r="X15" s="78">
        <v>-1506</v>
      </c>
      <c r="Y15" s="78">
        <f>-2283-Z15</f>
        <v>-1634</v>
      </c>
      <c r="Z15" s="92">
        <v>-649</v>
      </c>
      <c r="AA15" s="91">
        <f>-638-AB15-AC15-AD15</f>
        <v>286</v>
      </c>
      <c r="AB15" s="78">
        <v>-344</v>
      </c>
      <c r="AC15" s="78">
        <f>-580-AD15</f>
        <v>-294</v>
      </c>
      <c r="AD15" s="92">
        <v>-286</v>
      </c>
      <c r="AE15" s="91">
        <f>-1292-AF15-AG15-AH15</f>
        <v>-259</v>
      </c>
      <c r="AF15" s="78">
        <v>-261</v>
      </c>
      <c r="AG15" s="78">
        <f>-772-AH15</f>
        <v>-282</v>
      </c>
      <c r="AH15" s="92">
        <v>-490</v>
      </c>
      <c r="AI15" s="91">
        <f>-5700-AJ15-AK15-AL15</f>
        <v>-1872</v>
      </c>
      <c r="AJ15" s="78">
        <v>-869</v>
      </c>
      <c r="AK15" s="78">
        <f>-2959-AL15</f>
        <v>-1114</v>
      </c>
      <c r="AL15" s="92">
        <v>-1845</v>
      </c>
      <c r="AM15" s="91">
        <f>-6365-AN15-AO15-AP15</f>
        <v>-2358</v>
      </c>
      <c r="AN15" s="78">
        <v>-1921</v>
      </c>
      <c r="AO15" s="78">
        <v>-1257</v>
      </c>
      <c r="AP15" s="92">
        <v>-829</v>
      </c>
      <c r="AQ15" s="14"/>
    </row>
    <row r="16" spans="2:43" s="1" customFormat="1" collapsed="1">
      <c r="B16" s="9" t="s">
        <v>103</v>
      </c>
      <c r="C16" s="129">
        <v>21294</v>
      </c>
      <c r="D16" s="157">
        <f>SUM(D17:D18)</f>
        <v>21982</v>
      </c>
      <c r="E16" s="77">
        <f t="shared" ref="E16" si="9">SUM(E17:E18)</f>
        <v>16906</v>
      </c>
      <c r="F16" s="77">
        <f t="shared" ref="F16:AP16" si="10">SUM(F17:F18)</f>
        <v>17807</v>
      </c>
      <c r="G16" s="89">
        <f t="shared" si="10"/>
        <v>16048</v>
      </c>
      <c r="H16" s="77">
        <f t="shared" si="10"/>
        <v>14113</v>
      </c>
      <c r="I16" s="77">
        <f t="shared" si="10"/>
        <v>15099</v>
      </c>
      <c r="J16" s="90">
        <f t="shared" si="10"/>
        <v>13686</v>
      </c>
      <c r="K16" s="89">
        <f t="shared" si="10"/>
        <v>12977</v>
      </c>
      <c r="L16" s="77">
        <f t="shared" si="10"/>
        <v>5267</v>
      </c>
      <c r="M16" s="77">
        <f t="shared" si="10"/>
        <v>5889</v>
      </c>
      <c r="N16" s="90">
        <f t="shared" si="10"/>
        <v>5946</v>
      </c>
      <c r="O16" s="89">
        <f t="shared" si="10"/>
        <v>5178</v>
      </c>
      <c r="P16" s="77">
        <f t="shared" si="10"/>
        <v>2370</v>
      </c>
      <c r="Q16" s="77">
        <f t="shared" si="10"/>
        <v>156</v>
      </c>
      <c r="R16" s="90">
        <f t="shared" si="10"/>
        <v>1</v>
      </c>
      <c r="S16" s="89">
        <f t="shared" si="10"/>
        <v>0</v>
      </c>
      <c r="T16" s="77">
        <f t="shared" si="10"/>
        <v>0</v>
      </c>
      <c r="U16" s="77">
        <f t="shared" si="10"/>
        <v>0</v>
      </c>
      <c r="V16" s="90">
        <f t="shared" si="10"/>
        <v>0</v>
      </c>
      <c r="W16" s="89">
        <f t="shared" si="10"/>
        <v>0</v>
      </c>
      <c r="X16" s="77">
        <f t="shared" si="10"/>
        <v>0</v>
      </c>
      <c r="Y16" s="77">
        <f t="shared" si="10"/>
        <v>0</v>
      </c>
      <c r="Z16" s="90">
        <f t="shared" si="10"/>
        <v>0</v>
      </c>
      <c r="AA16" s="89">
        <f t="shared" si="10"/>
        <v>0</v>
      </c>
      <c r="AB16" s="77">
        <f t="shared" si="10"/>
        <v>0</v>
      </c>
      <c r="AC16" s="77">
        <f t="shared" si="10"/>
        <v>0</v>
      </c>
      <c r="AD16" s="90">
        <f t="shared" si="10"/>
        <v>0</v>
      </c>
      <c r="AE16" s="89">
        <f t="shared" si="10"/>
        <v>0</v>
      </c>
      <c r="AF16" s="77">
        <f t="shared" si="10"/>
        <v>0</v>
      </c>
      <c r="AG16" s="77">
        <f t="shared" si="10"/>
        <v>0</v>
      </c>
      <c r="AH16" s="90">
        <f t="shared" si="10"/>
        <v>0</v>
      </c>
      <c r="AI16" s="89">
        <f t="shared" si="10"/>
        <v>0</v>
      </c>
      <c r="AJ16" s="77">
        <f t="shared" si="10"/>
        <v>0</v>
      </c>
      <c r="AK16" s="77">
        <f t="shared" si="10"/>
        <v>0</v>
      </c>
      <c r="AL16" s="90">
        <f t="shared" si="10"/>
        <v>0</v>
      </c>
      <c r="AM16" s="89">
        <f t="shared" si="10"/>
        <v>0</v>
      </c>
      <c r="AN16" s="77">
        <f t="shared" si="10"/>
        <v>0</v>
      </c>
      <c r="AO16" s="77">
        <f t="shared" si="10"/>
        <v>0</v>
      </c>
      <c r="AP16" s="90">
        <f t="shared" si="10"/>
        <v>0</v>
      </c>
      <c r="AQ16" s="14"/>
    </row>
    <row r="17" spans="2:43" s="1" customFormat="1" ht="14" hidden="1" customHeight="1" outlineLevel="1">
      <c r="B17" s="75" t="s">
        <v>118</v>
      </c>
      <c r="C17" s="137">
        <v>36838</v>
      </c>
      <c r="D17" s="174">
        <v>37605</v>
      </c>
      <c r="E17" s="78">
        <v>33342</v>
      </c>
      <c r="F17" s="78">
        <v>32344</v>
      </c>
      <c r="G17" s="91">
        <f>105568-H17-I17-J17</f>
        <v>30331</v>
      </c>
      <c r="H17" s="78">
        <v>27252</v>
      </c>
      <c r="I17" s="78">
        <v>25979</v>
      </c>
      <c r="J17" s="92">
        <v>22006</v>
      </c>
      <c r="K17" s="91">
        <f>34061-L17-M17-N17</f>
        <v>16959</v>
      </c>
      <c r="L17" s="78">
        <f>17102-M17-N17</f>
        <v>5267</v>
      </c>
      <c r="M17" s="78">
        <f>11835-N17</f>
        <v>5889</v>
      </c>
      <c r="N17" s="92">
        <v>5946</v>
      </c>
      <c r="O17" s="91">
        <v>5178</v>
      </c>
      <c r="P17" s="78">
        <v>2370</v>
      </c>
      <c r="Q17" s="78">
        <v>156</v>
      </c>
      <c r="R17" s="92">
        <v>1</v>
      </c>
      <c r="S17" s="91">
        <v>0</v>
      </c>
      <c r="T17" s="78">
        <v>0</v>
      </c>
      <c r="U17" s="78">
        <v>0</v>
      </c>
      <c r="V17" s="92">
        <v>0</v>
      </c>
      <c r="W17" s="91">
        <v>0</v>
      </c>
      <c r="X17" s="78">
        <v>0</v>
      </c>
      <c r="Y17" s="78">
        <v>0</v>
      </c>
      <c r="Z17" s="92">
        <v>0</v>
      </c>
      <c r="AA17" s="91">
        <v>0</v>
      </c>
      <c r="AB17" s="78">
        <v>0</v>
      </c>
      <c r="AC17" s="78">
        <v>0</v>
      </c>
      <c r="AD17" s="92">
        <v>0</v>
      </c>
      <c r="AE17" s="91">
        <v>0</v>
      </c>
      <c r="AF17" s="78">
        <v>0</v>
      </c>
      <c r="AG17" s="78">
        <v>0</v>
      </c>
      <c r="AH17" s="92">
        <v>0</v>
      </c>
      <c r="AI17" s="91">
        <v>0</v>
      </c>
      <c r="AJ17" s="78">
        <v>0</v>
      </c>
      <c r="AK17" s="78">
        <v>0</v>
      </c>
      <c r="AL17" s="92">
        <v>0</v>
      </c>
      <c r="AM17" s="91">
        <v>0</v>
      </c>
      <c r="AN17" s="78">
        <v>0</v>
      </c>
      <c r="AO17" s="78">
        <v>0</v>
      </c>
      <c r="AP17" s="92">
        <v>0</v>
      </c>
      <c r="AQ17" s="14"/>
    </row>
    <row r="18" spans="2:43" s="1" customFormat="1" ht="14" hidden="1" customHeight="1" outlineLevel="1">
      <c r="B18" s="75" t="s">
        <v>119</v>
      </c>
      <c r="C18" s="130">
        <v>-15544</v>
      </c>
      <c r="D18" s="113">
        <v>-15623</v>
      </c>
      <c r="E18" s="78">
        <v>-16436</v>
      </c>
      <c r="F18" s="78">
        <v>-14537</v>
      </c>
      <c r="G18" s="91">
        <f>-46622-H18-I18-J18</f>
        <v>-14283</v>
      </c>
      <c r="H18" s="78">
        <v>-13139</v>
      </c>
      <c r="I18" s="78">
        <v>-10880</v>
      </c>
      <c r="J18" s="92">
        <v>-8320</v>
      </c>
      <c r="K18" s="91">
        <v>-3982</v>
      </c>
      <c r="L18" s="78">
        <v>0</v>
      </c>
      <c r="M18" s="78">
        <v>0</v>
      </c>
      <c r="N18" s="92">
        <v>0</v>
      </c>
      <c r="O18" s="91">
        <v>0</v>
      </c>
      <c r="P18" s="78">
        <v>0</v>
      </c>
      <c r="Q18" s="78">
        <v>0</v>
      </c>
      <c r="R18" s="92">
        <v>0</v>
      </c>
      <c r="S18" s="91">
        <v>0</v>
      </c>
      <c r="T18" s="78">
        <v>0</v>
      </c>
      <c r="U18" s="78">
        <v>0</v>
      </c>
      <c r="V18" s="92">
        <v>0</v>
      </c>
      <c r="W18" s="91">
        <v>0</v>
      </c>
      <c r="X18" s="78">
        <v>0</v>
      </c>
      <c r="Y18" s="78">
        <v>0</v>
      </c>
      <c r="Z18" s="92">
        <v>0</v>
      </c>
      <c r="AA18" s="91">
        <v>0</v>
      </c>
      <c r="AB18" s="78">
        <v>0</v>
      </c>
      <c r="AC18" s="78">
        <v>0</v>
      </c>
      <c r="AD18" s="92">
        <v>0</v>
      </c>
      <c r="AE18" s="91">
        <v>0</v>
      </c>
      <c r="AF18" s="78">
        <v>0</v>
      </c>
      <c r="AG18" s="78">
        <v>0</v>
      </c>
      <c r="AH18" s="92">
        <v>0</v>
      </c>
      <c r="AI18" s="91">
        <v>0</v>
      </c>
      <c r="AJ18" s="78">
        <v>0</v>
      </c>
      <c r="AK18" s="78">
        <v>0</v>
      </c>
      <c r="AL18" s="92">
        <v>0</v>
      </c>
      <c r="AM18" s="91">
        <v>0</v>
      </c>
      <c r="AN18" s="78">
        <v>0</v>
      </c>
      <c r="AO18" s="78">
        <v>0</v>
      </c>
      <c r="AP18" s="92">
        <v>0</v>
      </c>
      <c r="AQ18" s="14"/>
    </row>
    <row r="19" spans="2:43" s="1" customFormat="1" collapsed="1">
      <c r="B19" s="9" t="s">
        <v>11</v>
      </c>
      <c r="C19" s="135">
        <v>6023</v>
      </c>
      <c r="D19" s="173">
        <v>5014</v>
      </c>
      <c r="E19" s="77">
        <v>4634</v>
      </c>
      <c r="F19" s="77">
        <v>4616</v>
      </c>
      <c r="G19" s="89">
        <v>3604</v>
      </c>
      <c r="H19" s="77">
        <v>2773</v>
      </c>
      <c r="I19" s="77">
        <v>3371</v>
      </c>
      <c r="J19" s="90">
        <v>2543</v>
      </c>
      <c r="K19" s="89">
        <v>2834</v>
      </c>
      <c r="L19" s="77">
        <v>2772</v>
      </c>
      <c r="M19" s="77">
        <v>3074</v>
      </c>
      <c r="N19" s="90">
        <v>3050</v>
      </c>
      <c r="O19" s="89">
        <v>2220</v>
      </c>
      <c r="P19" s="77">
        <v>1719</v>
      </c>
      <c r="Q19" s="77">
        <v>1413</v>
      </c>
      <c r="R19" s="90">
        <v>1668</v>
      </c>
      <c r="S19" s="89">
        <v>1254</v>
      </c>
      <c r="T19" s="77">
        <v>1269</v>
      </c>
      <c r="U19" s="77">
        <v>1215</v>
      </c>
      <c r="V19" s="90">
        <v>1296</v>
      </c>
      <c r="W19" s="89">
        <v>1181</v>
      </c>
      <c r="X19" s="77">
        <v>977</v>
      </c>
      <c r="Y19" s="77">
        <v>1097</v>
      </c>
      <c r="Z19" s="90">
        <v>1584</v>
      </c>
      <c r="AA19" s="89">
        <v>1167</v>
      </c>
      <c r="AB19" s="77">
        <v>1130</v>
      </c>
      <c r="AC19" s="77">
        <v>1701</v>
      </c>
      <c r="AD19" s="90">
        <v>1631</v>
      </c>
      <c r="AE19" s="89">
        <v>1537</v>
      </c>
      <c r="AF19" s="77">
        <v>1573</v>
      </c>
      <c r="AG19" s="77">
        <v>2366</v>
      </c>
      <c r="AH19" s="90">
        <v>1175</v>
      </c>
      <c r="AI19" s="89">
        <v>1172</v>
      </c>
      <c r="AJ19" s="77">
        <v>1038</v>
      </c>
      <c r="AK19" s="77">
        <v>1195</v>
      </c>
      <c r="AL19" s="90">
        <v>1052</v>
      </c>
      <c r="AM19" s="89">
        <v>1297</v>
      </c>
      <c r="AN19" s="77">
        <v>1289</v>
      </c>
      <c r="AO19" s="77">
        <v>1404</v>
      </c>
      <c r="AP19" s="90">
        <v>1294</v>
      </c>
      <c r="AQ19" s="14"/>
    </row>
    <row r="20" spans="2:43" s="1" customFormat="1">
      <c r="B20" s="9" t="s">
        <v>12</v>
      </c>
      <c r="C20" s="138">
        <v>2885</v>
      </c>
      <c r="D20" s="79">
        <v>43</v>
      </c>
      <c r="E20" s="77">
        <v>245</v>
      </c>
      <c r="F20" s="77">
        <v>25</v>
      </c>
      <c r="G20" s="89">
        <v>1260</v>
      </c>
      <c r="H20" s="77">
        <v>195</v>
      </c>
      <c r="I20" s="77">
        <v>48</v>
      </c>
      <c r="J20" s="90">
        <v>121</v>
      </c>
      <c r="K20" s="89">
        <v>2034</v>
      </c>
      <c r="L20" s="77">
        <v>6</v>
      </c>
      <c r="M20" s="77">
        <v>34</v>
      </c>
      <c r="N20" s="90">
        <v>11</v>
      </c>
      <c r="O20" s="89">
        <v>50</v>
      </c>
      <c r="P20" s="77">
        <v>2</v>
      </c>
      <c r="Q20" s="77">
        <v>6</v>
      </c>
      <c r="R20" s="90">
        <v>11</v>
      </c>
      <c r="S20" s="89">
        <v>1764</v>
      </c>
      <c r="T20" s="77">
        <v>29</v>
      </c>
      <c r="U20" s="77">
        <v>310</v>
      </c>
      <c r="V20" s="90">
        <v>5</v>
      </c>
      <c r="W20" s="89">
        <v>39</v>
      </c>
      <c r="X20" s="77">
        <v>5</v>
      </c>
      <c r="Y20" s="77">
        <v>8</v>
      </c>
      <c r="Z20" s="90">
        <v>71</v>
      </c>
      <c r="AA20" s="89">
        <v>527</v>
      </c>
      <c r="AB20" s="77">
        <v>30</v>
      </c>
      <c r="AC20" s="77">
        <v>6</v>
      </c>
      <c r="AD20" s="90">
        <v>6</v>
      </c>
      <c r="AE20" s="89">
        <v>106</v>
      </c>
      <c r="AF20" s="77">
        <v>-9</v>
      </c>
      <c r="AG20" s="77">
        <v>69</v>
      </c>
      <c r="AH20" s="90">
        <v>11</v>
      </c>
      <c r="AI20" s="89">
        <v>56</v>
      </c>
      <c r="AJ20" s="77">
        <v>29</v>
      </c>
      <c r="AK20" s="77">
        <v>21</v>
      </c>
      <c r="AL20" s="90">
        <v>16</v>
      </c>
      <c r="AM20" s="89">
        <v>34</v>
      </c>
      <c r="AN20" s="77">
        <v>19</v>
      </c>
      <c r="AO20" s="77">
        <v>17</v>
      </c>
      <c r="AP20" s="90">
        <v>6</v>
      </c>
      <c r="AQ20" s="14"/>
    </row>
    <row r="21" spans="2:43" s="1" customFormat="1">
      <c r="B21" s="12" t="s">
        <v>25</v>
      </c>
      <c r="C21" s="131">
        <v>609344</v>
      </c>
      <c r="D21" s="114">
        <f>SUM(D6,D16,D19:D20)</f>
        <v>375821</v>
      </c>
      <c r="E21" s="76">
        <f>SUM(E6,E16,E19:E20)</f>
        <v>580597</v>
      </c>
      <c r="F21" s="76">
        <f>SUM(F6,F16,F19:F20)</f>
        <v>580294</v>
      </c>
      <c r="G21" s="93">
        <f t="shared" ref="G21:W21" si="11">SUM(G6,G16,G19:G20)</f>
        <v>465416</v>
      </c>
      <c r="H21" s="76">
        <f t="shared" si="11"/>
        <v>470234</v>
      </c>
      <c r="I21" s="76">
        <f t="shared" si="11"/>
        <v>381838</v>
      </c>
      <c r="J21" s="94">
        <f t="shared" si="11"/>
        <v>555948</v>
      </c>
      <c r="K21" s="93">
        <f t="shared" si="11"/>
        <v>506710</v>
      </c>
      <c r="L21" s="76">
        <f t="shared" si="11"/>
        <v>280988</v>
      </c>
      <c r="M21" s="76">
        <f t="shared" si="11"/>
        <v>293134</v>
      </c>
      <c r="N21" s="94">
        <f t="shared" si="11"/>
        <v>537553</v>
      </c>
      <c r="O21" s="93">
        <f t="shared" si="11"/>
        <v>221924</v>
      </c>
      <c r="P21" s="76">
        <f t="shared" si="11"/>
        <v>393659</v>
      </c>
      <c r="Q21" s="76">
        <f t="shared" si="11"/>
        <v>396566</v>
      </c>
      <c r="R21" s="94">
        <f t="shared" si="11"/>
        <v>439805</v>
      </c>
      <c r="S21" s="93">
        <f t="shared" si="11"/>
        <v>183567</v>
      </c>
      <c r="T21" s="76">
        <f t="shared" si="11"/>
        <v>200029</v>
      </c>
      <c r="U21" s="76">
        <f t="shared" si="11"/>
        <v>55302</v>
      </c>
      <c r="V21" s="94">
        <f t="shared" si="11"/>
        <v>186697</v>
      </c>
      <c r="W21" s="93">
        <f t="shared" si="11"/>
        <v>139962</v>
      </c>
      <c r="X21" s="76">
        <f>SUM(X6,X16,X19:X20)</f>
        <v>139630</v>
      </c>
      <c r="Y21" s="76">
        <f t="shared" ref="Y21:AP21" si="12">SUM(Y6,Y16,Y19:Y20)</f>
        <v>211494</v>
      </c>
      <c r="Z21" s="94">
        <f t="shared" si="12"/>
        <v>306664</v>
      </c>
      <c r="AA21" s="93">
        <f t="shared" si="12"/>
        <v>89571</v>
      </c>
      <c r="AB21" s="76">
        <f t="shared" si="12"/>
        <v>60952</v>
      </c>
      <c r="AC21" s="76">
        <f t="shared" si="12"/>
        <v>47891</v>
      </c>
      <c r="AD21" s="94">
        <f t="shared" si="12"/>
        <v>40890</v>
      </c>
      <c r="AE21" s="93">
        <f t="shared" si="12"/>
        <v>42786</v>
      </c>
      <c r="AF21" s="76">
        <f t="shared" si="12"/>
        <v>47578</v>
      </c>
      <c r="AG21" s="76">
        <f t="shared" si="12"/>
        <v>84200</v>
      </c>
      <c r="AH21" s="94">
        <f t="shared" si="12"/>
        <v>113737</v>
      </c>
      <c r="AI21" s="93">
        <f t="shared" si="12"/>
        <v>75460</v>
      </c>
      <c r="AJ21" s="76">
        <f t="shared" si="12"/>
        <v>73063</v>
      </c>
      <c r="AK21" s="76">
        <f t="shared" si="12"/>
        <v>66526</v>
      </c>
      <c r="AL21" s="94">
        <f t="shared" si="12"/>
        <v>58718</v>
      </c>
      <c r="AM21" s="93">
        <f t="shared" si="12"/>
        <v>93959</v>
      </c>
      <c r="AN21" s="76">
        <f t="shared" si="12"/>
        <v>42802</v>
      </c>
      <c r="AO21" s="76">
        <f t="shared" si="12"/>
        <v>31050</v>
      </c>
      <c r="AP21" s="94">
        <f t="shared" si="12"/>
        <v>82765</v>
      </c>
      <c r="AQ21" s="14"/>
    </row>
    <row r="22" spans="2:43" s="1" customFormat="1" ht="7.5" customHeight="1">
      <c r="B22" s="9"/>
      <c r="C22" s="134"/>
      <c r="D22" s="79"/>
      <c r="E22" s="11"/>
      <c r="F22" s="11"/>
      <c r="G22" s="31"/>
      <c r="H22" s="11"/>
      <c r="I22" s="11"/>
      <c r="J22" s="30"/>
      <c r="K22" s="31"/>
      <c r="L22" s="11"/>
      <c r="M22" s="11"/>
      <c r="N22" s="30"/>
      <c r="O22" s="31"/>
      <c r="P22" s="11"/>
      <c r="Q22" s="11"/>
      <c r="R22" s="30"/>
      <c r="S22" s="31"/>
      <c r="T22" s="11"/>
      <c r="U22" s="11"/>
      <c r="V22" s="30"/>
      <c r="W22" s="31"/>
      <c r="X22" s="11"/>
      <c r="Y22" s="11"/>
      <c r="Z22" s="11"/>
      <c r="AA22" s="31"/>
      <c r="AB22" s="11"/>
      <c r="AC22" s="11"/>
      <c r="AD22" s="11"/>
      <c r="AE22" s="37"/>
      <c r="AF22" s="9"/>
      <c r="AG22" s="9"/>
      <c r="AH22" s="28"/>
      <c r="AI22" s="29"/>
      <c r="AJ22" s="9"/>
      <c r="AK22" s="9"/>
      <c r="AL22" s="38"/>
      <c r="AM22" s="31"/>
      <c r="AN22" s="11"/>
      <c r="AO22" s="11"/>
      <c r="AP22" s="30"/>
      <c r="AQ22" s="14"/>
    </row>
    <row r="23" spans="2:43" s="1" customFormat="1">
      <c r="B23" s="9" t="s">
        <v>0</v>
      </c>
      <c r="C23" s="129">
        <v>-179047</v>
      </c>
      <c r="D23" s="157">
        <v>-141495</v>
      </c>
      <c r="E23" s="77">
        <v>-123322</v>
      </c>
      <c r="F23" s="11">
        <v>-141034</v>
      </c>
      <c r="G23" s="31">
        <v>-116855</v>
      </c>
      <c r="H23" s="11">
        <v>-71613</v>
      </c>
      <c r="I23" s="11">
        <v>-75234</v>
      </c>
      <c r="J23" s="30">
        <v>-81106</v>
      </c>
      <c r="K23" s="31">
        <v>-69081</v>
      </c>
      <c r="L23" s="11">
        <v>-58585</v>
      </c>
      <c r="M23" s="11">
        <v>-54823</v>
      </c>
      <c r="N23" s="30">
        <v>-81435</v>
      </c>
      <c r="O23" s="31">
        <v>-68478</v>
      </c>
      <c r="P23" s="11">
        <v>-48579</v>
      </c>
      <c r="Q23" s="11">
        <v>-54662</v>
      </c>
      <c r="R23" s="30">
        <v>-50650</v>
      </c>
      <c r="S23" s="31">
        <v>-37201</v>
      </c>
      <c r="T23" s="11">
        <v>-24772</v>
      </c>
      <c r="U23" s="11">
        <v>-25078</v>
      </c>
      <c r="V23" s="30">
        <v>-33050</v>
      </c>
      <c r="W23" s="31">
        <v>-30861</v>
      </c>
      <c r="X23" s="11">
        <v>-17870</v>
      </c>
      <c r="Y23" s="11">
        <v>-22260</v>
      </c>
      <c r="Z23" s="30">
        <v>-16740</v>
      </c>
      <c r="AA23" s="31">
        <v>-10222</v>
      </c>
      <c r="AB23" s="11">
        <v>-8735</v>
      </c>
      <c r="AC23" s="11">
        <v>-9581</v>
      </c>
      <c r="AD23" s="11">
        <v>-9178</v>
      </c>
      <c r="AE23" s="31">
        <v>-7878</v>
      </c>
      <c r="AF23" s="11">
        <v>-8669</v>
      </c>
      <c r="AG23" s="11">
        <v>-8976</v>
      </c>
      <c r="AH23" s="28">
        <v>-7799</v>
      </c>
      <c r="AI23" s="29">
        <v>-5558</v>
      </c>
      <c r="AJ23" s="11">
        <v>-5563</v>
      </c>
      <c r="AK23" s="11">
        <v>-6545</v>
      </c>
      <c r="AL23" s="30">
        <v>-7175</v>
      </c>
      <c r="AM23" s="31">
        <v>-8997</v>
      </c>
      <c r="AN23" s="11">
        <v>-8041</v>
      </c>
      <c r="AO23" s="11">
        <v>-24310</v>
      </c>
      <c r="AP23" s="30">
        <v>-7990</v>
      </c>
      <c r="AQ23" s="14"/>
    </row>
    <row r="24" spans="2:43" s="1" customFormat="1">
      <c r="B24" s="9" t="s">
        <v>13</v>
      </c>
      <c r="C24" s="129">
        <v>-115162</v>
      </c>
      <c r="D24" s="157">
        <v>-105157</v>
      </c>
      <c r="E24" s="77">
        <v>-97657</v>
      </c>
      <c r="F24" s="11">
        <v>-95043</v>
      </c>
      <c r="G24" s="31">
        <v>-84277</v>
      </c>
      <c r="H24" s="11">
        <v>-79018</v>
      </c>
      <c r="I24" s="11">
        <v>-75434</v>
      </c>
      <c r="J24" s="30">
        <v>-72845</v>
      </c>
      <c r="K24" s="31">
        <v>-70593</v>
      </c>
      <c r="L24" s="11">
        <v>-63767</v>
      </c>
      <c r="M24" s="11">
        <v>-61413</v>
      </c>
      <c r="N24" s="30">
        <v>-63367</v>
      </c>
      <c r="O24" s="31">
        <v>-50013</v>
      </c>
      <c r="P24" s="11">
        <v>-49036</v>
      </c>
      <c r="Q24" s="11">
        <v>-46486</v>
      </c>
      <c r="R24" s="30">
        <v>-46492</v>
      </c>
      <c r="S24" s="31">
        <v>-35404</v>
      </c>
      <c r="T24" s="11">
        <v>-36613</v>
      </c>
      <c r="U24" s="11">
        <v>-28353</v>
      </c>
      <c r="V24" s="30">
        <v>-30892</v>
      </c>
      <c r="W24" s="31">
        <v>-28070</v>
      </c>
      <c r="X24" s="11">
        <v>-25385</v>
      </c>
      <c r="Y24" s="11">
        <v>-26904</v>
      </c>
      <c r="Z24" s="30">
        <v>-38782</v>
      </c>
      <c r="AA24" s="31">
        <v>-24126</v>
      </c>
      <c r="AB24" s="11">
        <v>-21368</v>
      </c>
      <c r="AC24" s="11">
        <v>-20793</v>
      </c>
      <c r="AD24" s="11">
        <v>-19737</v>
      </c>
      <c r="AE24" s="31">
        <v>-19681</v>
      </c>
      <c r="AF24" s="11">
        <v>-19681</v>
      </c>
      <c r="AG24" s="11">
        <v>-19664</v>
      </c>
      <c r="AH24" s="28">
        <v>-19452</v>
      </c>
      <c r="AI24" s="29">
        <v>-19293</v>
      </c>
      <c r="AJ24" s="11">
        <v>-17590</v>
      </c>
      <c r="AK24" s="11">
        <v>-17842</v>
      </c>
      <c r="AL24" s="30">
        <v>-18425</v>
      </c>
      <c r="AM24" s="31">
        <v>-17156</v>
      </c>
      <c r="AN24" s="11">
        <v>-16174</v>
      </c>
      <c r="AO24" s="11">
        <v>-16259</v>
      </c>
      <c r="AP24" s="30">
        <v>-22275</v>
      </c>
      <c r="AQ24" s="14"/>
    </row>
    <row r="25" spans="2:43" s="1" customFormat="1">
      <c r="B25" s="9" t="s">
        <v>100</v>
      </c>
      <c r="C25" s="129">
        <v>-24843</v>
      </c>
      <c r="D25" s="157">
        <v>-25306</v>
      </c>
      <c r="E25" s="77">
        <v>-23432</v>
      </c>
      <c r="F25" s="11">
        <v>-33834</v>
      </c>
      <c r="G25" s="31">
        <v>-28647</v>
      </c>
      <c r="H25" s="11">
        <v>-24722</v>
      </c>
      <c r="I25" s="11">
        <v>-22596</v>
      </c>
      <c r="J25" s="30">
        <v>-21324</v>
      </c>
      <c r="K25" s="31">
        <v>-18255</v>
      </c>
      <c r="L25" s="11">
        <v>-14576</v>
      </c>
      <c r="M25" s="11">
        <v>-13906</v>
      </c>
      <c r="N25" s="30">
        <v>-15079</v>
      </c>
      <c r="O25" s="31">
        <v>-13780</v>
      </c>
      <c r="P25" s="11">
        <v>-12995</v>
      </c>
      <c r="Q25" s="11">
        <v>-14323</v>
      </c>
      <c r="R25" s="30">
        <v>-13267</v>
      </c>
      <c r="S25" s="31">
        <f>-9776</f>
        <v>-9776</v>
      </c>
      <c r="T25" s="11">
        <v>-8620</v>
      </c>
      <c r="U25" s="11">
        <v>-8080</v>
      </c>
      <c r="V25" s="30">
        <v>-9711</v>
      </c>
      <c r="W25" s="31">
        <v>-6535</v>
      </c>
      <c r="X25" s="11">
        <v>-5480</v>
      </c>
      <c r="Y25" s="11">
        <v>-5984</v>
      </c>
      <c r="Z25" s="30">
        <v>-4540</v>
      </c>
      <c r="AA25" s="31">
        <v>-2282</v>
      </c>
      <c r="AB25" s="11">
        <v>-2143</v>
      </c>
      <c r="AC25" s="11">
        <v>-1872</v>
      </c>
      <c r="AD25" s="11">
        <v>-2032</v>
      </c>
      <c r="AE25" s="31">
        <v>-1984</v>
      </c>
      <c r="AF25" s="11">
        <v>-1609</v>
      </c>
      <c r="AG25" s="11">
        <v>-1699</v>
      </c>
      <c r="AH25" s="28">
        <v>-2335</v>
      </c>
      <c r="AI25" s="29">
        <v>-2147</v>
      </c>
      <c r="AJ25" s="11">
        <v>-1196</v>
      </c>
      <c r="AK25" s="11">
        <v>-1122</v>
      </c>
      <c r="AL25" s="30">
        <v>-1499</v>
      </c>
      <c r="AM25" s="31">
        <v>-939</v>
      </c>
      <c r="AN25" s="11">
        <v>-932</v>
      </c>
      <c r="AO25" s="11">
        <v>-1202</v>
      </c>
      <c r="AP25" s="30">
        <v>-1109</v>
      </c>
      <c r="AQ25" s="14"/>
    </row>
    <row r="26" spans="2:43" s="1" customFormat="1">
      <c r="B26" s="9" t="s">
        <v>14</v>
      </c>
      <c r="C26" s="129">
        <v>-38881</v>
      </c>
      <c r="D26" s="157">
        <v>-31958</v>
      </c>
      <c r="E26" s="77">
        <v>-32456</v>
      </c>
      <c r="F26" s="11">
        <v>-29551</v>
      </c>
      <c r="G26" s="31">
        <v>-23048</v>
      </c>
      <c r="H26" s="11">
        <v>-20581</v>
      </c>
      <c r="I26" s="11">
        <v>-18636</v>
      </c>
      <c r="J26" s="30">
        <v>-16961</v>
      </c>
      <c r="K26" s="31">
        <v>-18645</v>
      </c>
      <c r="L26" s="11">
        <v>-15489</v>
      </c>
      <c r="M26" s="11">
        <v>-15945</v>
      </c>
      <c r="N26" s="30">
        <v>-14062</v>
      </c>
      <c r="O26" s="31">
        <v>-14865</v>
      </c>
      <c r="P26" s="11">
        <v>-12737</v>
      </c>
      <c r="Q26" s="11">
        <v>-10992</v>
      </c>
      <c r="R26" s="30">
        <v>-11373</v>
      </c>
      <c r="S26" s="31">
        <v>-11300</v>
      </c>
      <c r="T26" s="11">
        <v>-8762</v>
      </c>
      <c r="U26" s="11">
        <v>-9644</v>
      </c>
      <c r="V26" s="30">
        <v>-8728</v>
      </c>
      <c r="W26" s="31">
        <v>-9166</v>
      </c>
      <c r="X26" s="11">
        <v>-7045</v>
      </c>
      <c r="Y26" s="11">
        <v>-5465</v>
      </c>
      <c r="Z26" s="30">
        <v>-7767</v>
      </c>
      <c r="AA26" s="31">
        <v>-7540</v>
      </c>
      <c r="AB26" s="11">
        <v>-5737</v>
      </c>
      <c r="AC26" s="11">
        <v>-5546</v>
      </c>
      <c r="AD26" s="11">
        <v>-5815</v>
      </c>
      <c r="AE26" s="31">
        <v>-6575</v>
      </c>
      <c r="AF26" s="11">
        <v>-5605</v>
      </c>
      <c r="AG26" s="11">
        <v>-5891</v>
      </c>
      <c r="AH26" s="28">
        <v>-6838</v>
      </c>
      <c r="AI26" s="29">
        <v>-6514</v>
      </c>
      <c r="AJ26" s="11">
        <v>-5304</v>
      </c>
      <c r="AK26" s="11">
        <v>-5774</v>
      </c>
      <c r="AL26" s="30">
        <v>-4351</v>
      </c>
      <c r="AM26" s="31">
        <v>-5509</v>
      </c>
      <c r="AN26" s="11">
        <v>-4295</v>
      </c>
      <c r="AO26" s="11">
        <v>-6856</v>
      </c>
      <c r="AP26" s="30">
        <v>-3960</v>
      </c>
      <c r="AQ26" s="14"/>
    </row>
    <row r="27" spans="2:43" s="1" customFormat="1">
      <c r="B27" s="9" t="s">
        <v>16</v>
      </c>
      <c r="C27" s="129">
        <v>-7009</v>
      </c>
      <c r="D27" s="157">
        <v>-6552</v>
      </c>
      <c r="E27" s="77">
        <v>-5978</v>
      </c>
      <c r="F27" s="11">
        <v>-5866</v>
      </c>
      <c r="G27" s="31">
        <v>-5123</v>
      </c>
      <c r="H27" s="11">
        <v>-5066</v>
      </c>
      <c r="I27" s="11">
        <v>-4968</v>
      </c>
      <c r="J27" s="30">
        <v>-4748</v>
      </c>
      <c r="K27" s="31">
        <v>-5271</v>
      </c>
      <c r="L27" s="11">
        <v>-4196</v>
      </c>
      <c r="M27" s="11">
        <v>-3984</v>
      </c>
      <c r="N27" s="30">
        <v>-3746</v>
      </c>
      <c r="O27" s="31">
        <v>-5123</v>
      </c>
      <c r="P27" s="11">
        <v>-1262</v>
      </c>
      <c r="Q27" s="11">
        <v>-2368</v>
      </c>
      <c r="R27" s="30">
        <v>-2807</v>
      </c>
      <c r="S27" s="31">
        <v>-1958</v>
      </c>
      <c r="T27" s="11">
        <v>-1044</v>
      </c>
      <c r="U27" s="11">
        <v>-601</v>
      </c>
      <c r="V27" s="30">
        <v>-484</v>
      </c>
      <c r="W27" s="31">
        <v>-4729</v>
      </c>
      <c r="X27" s="11">
        <v>-457</v>
      </c>
      <c r="Y27" s="11">
        <v>-1498</v>
      </c>
      <c r="Z27" s="30">
        <v>-1202</v>
      </c>
      <c r="AA27" s="31">
        <v>177</v>
      </c>
      <c r="AB27" s="11">
        <v>-1767</v>
      </c>
      <c r="AC27" s="11">
        <v>-1636</v>
      </c>
      <c r="AD27" s="11">
        <v>-1098</v>
      </c>
      <c r="AE27" s="31">
        <v>-1491</v>
      </c>
      <c r="AF27" s="11">
        <v>-9532</v>
      </c>
      <c r="AG27" s="11">
        <v>-2213</v>
      </c>
      <c r="AH27" s="28">
        <v>-834</v>
      </c>
      <c r="AI27" s="29">
        <v>-568</v>
      </c>
      <c r="AJ27" s="11">
        <v>-1309</v>
      </c>
      <c r="AK27" s="11">
        <v>-821</v>
      </c>
      <c r="AL27" s="30">
        <v>-854</v>
      </c>
      <c r="AM27" s="31">
        <v>-2023</v>
      </c>
      <c r="AN27" s="11">
        <v>-631</v>
      </c>
      <c r="AO27" s="11">
        <v>-2045</v>
      </c>
      <c r="AP27" s="30">
        <v>-1040</v>
      </c>
      <c r="AQ27" s="14"/>
    </row>
    <row r="28" spans="2:43" s="1" customFormat="1">
      <c r="B28" s="9" t="s">
        <v>64</v>
      </c>
      <c r="C28" s="129">
        <v>-4559</v>
      </c>
      <c r="D28" s="157">
        <v>-4775</v>
      </c>
      <c r="E28" s="77">
        <v>-2812</v>
      </c>
      <c r="F28" s="11">
        <v>-3809</v>
      </c>
      <c r="G28" s="31">
        <v>-2770</v>
      </c>
      <c r="H28" s="11">
        <v>-1669</v>
      </c>
      <c r="I28" s="11">
        <v>-4829</v>
      </c>
      <c r="J28" s="30">
        <v>-3841</v>
      </c>
      <c r="K28" s="31">
        <v>-876</v>
      </c>
      <c r="L28" s="11">
        <v>-2947</v>
      </c>
      <c r="M28" s="11">
        <v>-2885</v>
      </c>
      <c r="N28" s="30">
        <v>-3004</v>
      </c>
      <c r="O28" s="31">
        <v>-3262</v>
      </c>
      <c r="P28" s="11">
        <v>-3080</v>
      </c>
      <c r="Q28" s="11">
        <v>-2788</v>
      </c>
      <c r="R28" s="30">
        <v>-2867</v>
      </c>
      <c r="S28" s="31">
        <v>-2324</v>
      </c>
      <c r="T28" s="11">
        <v>-2284</v>
      </c>
      <c r="U28" s="11">
        <v>-2361</v>
      </c>
      <c r="V28" s="30">
        <v>-1952</v>
      </c>
      <c r="W28" s="31">
        <v>-2106</v>
      </c>
      <c r="X28" s="11">
        <v>-1832</v>
      </c>
      <c r="Y28" s="11">
        <v>-1954</v>
      </c>
      <c r="Z28" s="30">
        <v>-1861</v>
      </c>
      <c r="AA28" s="31">
        <v>-1720</v>
      </c>
      <c r="AB28" s="11">
        <v>-1795</v>
      </c>
      <c r="AC28" s="11">
        <v>-1450</v>
      </c>
      <c r="AD28" s="11">
        <v>-1788</v>
      </c>
      <c r="AE28" s="31">
        <v>-794</v>
      </c>
      <c r="AF28" s="11">
        <v>-883</v>
      </c>
      <c r="AG28" s="11">
        <v>-775</v>
      </c>
      <c r="AH28" s="28">
        <v>-1479</v>
      </c>
      <c r="AI28" s="29">
        <v>-1482</v>
      </c>
      <c r="AJ28" s="11">
        <v>-1551</v>
      </c>
      <c r="AK28" s="11">
        <v>-1691</v>
      </c>
      <c r="AL28" s="30">
        <v>-1330</v>
      </c>
      <c r="AM28" s="31">
        <v>-1319</v>
      </c>
      <c r="AN28" s="11">
        <v>-1327</v>
      </c>
      <c r="AO28" s="11">
        <v>-1388</v>
      </c>
      <c r="AP28" s="30">
        <v>-1389</v>
      </c>
      <c r="AQ28" s="14"/>
    </row>
    <row r="29" spans="2:43" s="1" customFormat="1">
      <c r="B29" s="9" t="s">
        <v>15</v>
      </c>
      <c r="C29" s="129">
        <v>-2410</v>
      </c>
      <c r="D29" s="157">
        <v>-2712</v>
      </c>
      <c r="E29" s="77">
        <v>-2983</v>
      </c>
      <c r="F29" s="11">
        <v>-2454</v>
      </c>
      <c r="G29" s="31">
        <v>-2259</v>
      </c>
      <c r="H29" s="11">
        <v>-1836</v>
      </c>
      <c r="I29" s="11">
        <v>-1699</v>
      </c>
      <c r="J29" s="30">
        <v>-2205</v>
      </c>
      <c r="K29" s="31">
        <v>-1555</v>
      </c>
      <c r="L29" s="11">
        <v>-2198</v>
      </c>
      <c r="M29" s="11">
        <v>-1849</v>
      </c>
      <c r="N29" s="30">
        <v>-1926</v>
      </c>
      <c r="O29" s="31">
        <v>-1745</v>
      </c>
      <c r="P29" s="11">
        <v>-1958</v>
      </c>
      <c r="Q29" s="11">
        <v>-1917</v>
      </c>
      <c r="R29" s="30">
        <v>-2048</v>
      </c>
      <c r="S29" s="31">
        <v>-1437</v>
      </c>
      <c r="T29" s="11">
        <v>-1081</v>
      </c>
      <c r="U29" s="11">
        <v>-1086</v>
      </c>
      <c r="V29" s="30">
        <v>-803</v>
      </c>
      <c r="W29" s="31">
        <v>-844</v>
      </c>
      <c r="X29" s="11">
        <v>-1043</v>
      </c>
      <c r="Y29" s="11">
        <v>-933</v>
      </c>
      <c r="Z29" s="30">
        <v>-968</v>
      </c>
      <c r="AA29" s="31">
        <v>-742</v>
      </c>
      <c r="AB29" s="11">
        <v>-884</v>
      </c>
      <c r="AC29" s="11">
        <v>-790</v>
      </c>
      <c r="AD29" s="11">
        <v>-742</v>
      </c>
      <c r="AE29" s="31">
        <v>-1954</v>
      </c>
      <c r="AF29" s="11">
        <v>-1946</v>
      </c>
      <c r="AG29" s="11">
        <v>-1976</v>
      </c>
      <c r="AH29" s="28">
        <v>-1939</v>
      </c>
      <c r="AI29" s="29">
        <v>-2322</v>
      </c>
      <c r="AJ29" s="11">
        <v>-1849</v>
      </c>
      <c r="AK29" s="11">
        <v>-1851</v>
      </c>
      <c r="AL29" s="30">
        <v>-1912</v>
      </c>
      <c r="AM29" s="31">
        <v>-2257</v>
      </c>
      <c r="AN29" s="11">
        <v>-1960</v>
      </c>
      <c r="AO29" s="11">
        <v>-2093</v>
      </c>
      <c r="AP29" s="30">
        <v>-2388</v>
      </c>
      <c r="AQ29" s="14"/>
    </row>
    <row r="30" spans="2:43" s="1" customFormat="1">
      <c r="B30" s="9" t="s">
        <v>17</v>
      </c>
      <c r="C30" s="129">
        <v>-10384</v>
      </c>
      <c r="D30" s="157">
        <v>-4699</v>
      </c>
      <c r="E30" s="77">
        <v>-4271</v>
      </c>
      <c r="F30" s="11">
        <v>-4226</v>
      </c>
      <c r="G30" s="31">
        <v>-4823</v>
      </c>
      <c r="H30" s="11">
        <v>-4021</v>
      </c>
      <c r="I30" s="11">
        <v>-2012</v>
      </c>
      <c r="J30" s="30">
        <v>-1935</v>
      </c>
      <c r="K30" s="31">
        <v>-3393</v>
      </c>
      <c r="L30" s="11">
        <v>-3208</v>
      </c>
      <c r="M30" s="11">
        <v>-2572</v>
      </c>
      <c r="N30" s="30">
        <v>-1600</v>
      </c>
      <c r="O30" s="31">
        <v>-969</v>
      </c>
      <c r="P30" s="11">
        <v>-2899</v>
      </c>
      <c r="Q30" s="11">
        <v>-3214</v>
      </c>
      <c r="R30" s="30">
        <v>-1532</v>
      </c>
      <c r="S30" s="31">
        <v>-1315</v>
      </c>
      <c r="T30" s="11">
        <v>-1595</v>
      </c>
      <c r="U30" s="11">
        <v>-1181</v>
      </c>
      <c r="V30" s="30">
        <v>-1282</v>
      </c>
      <c r="W30" s="31">
        <v>-1305</v>
      </c>
      <c r="X30" s="11">
        <v>-1026</v>
      </c>
      <c r="Y30" s="11">
        <v>-723</v>
      </c>
      <c r="Z30" s="30">
        <v>-669</v>
      </c>
      <c r="AA30" s="31">
        <v>-869</v>
      </c>
      <c r="AB30" s="11">
        <v>-551</v>
      </c>
      <c r="AC30" s="11">
        <v>-822</v>
      </c>
      <c r="AD30" s="11">
        <v>-708</v>
      </c>
      <c r="AE30" s="31">
        <v>-505</v>
      </c>
      <c r="AF30" s="11">
        <v>-912</v>
      </c>
      <c r="AG30" s="11">
        <v>-556</v>
      </c>
      <c r="AH30" s="28">
        <v>-367</v>
      </c>
      <c r="AI30" s="29">
        <v>-350</v>
      </c>
      <c r="AJ30" s="11">
        <v>-363</v>
      </c>
      <c r="AK30" s="11">
        <v>-327</v>
      </c>
      <c r="AL30" s="30">
        <v>-1019</v>
      </c>
      <c r="AM30" s="31">
        <v>-689</v>
      </c>
      <c r="AN30" s="11">
        <v>-1018</v>
      </c>
      <c r="AO30" s="11">
        <v>-577</v>
      </c>
      <c r="AP30" s="30">
        <v>-313</v>
      </c>
      <c r="AQ30" s="14"/>
    </row>
    <row r="31" spans="2:43" s="1" customFormat="1">
      <c r="B31" s="12" t="s">
        <v>18</v>
      </c>
      <c r="C31" s="132">
        <v>-382295</v>
      </c>
      <c r="D31" s="175">
        <f t="shared" ref="D31" si="13">SUM(D23:D30)</f>
        <v>-322654</v>
      </c>
      <c r="E31" s="34">
        <f t="shared" ref="E31:F31" si="14">SUM(E23:E30)</f>
        <v>-292911</v>
      </c>
      <c r="F31" s="34">
        <f t="shared" si="14"/>
        <v>-315817</v>
      </c>
      <c r="G31" s="36">
        <f t="shared" ref="G31:AP31" si="15">SUM(G23:G30)</f>
        <v>-267802</v>
      </c>
      <c r="H31" s="34">
        <f t="shared" si="15"/>
        <v>-208526</v>
      </c>
      <c r="I31" s="34">
        <f t="shared" si="15"/>
        <v>-205408</v>
      </c>
      <c r="J31" s="35">
        <f t="shared" si="15"/>
        <v>-204965</v>
      </c>
      <c r="K31" s="36">
        <f t="shared" si="15"/>
        <v>-187669</v>
      </c>
      <c r="L31" s="34">
        <f t="shared" si="15"/>
        <v>-164966</v>
      </c>
      <c r="M31" s="34">
        <f t="shared" si="15"/>
        <v>-157377</v>
      </c>
      <c r="N31" s="35">
        <f t="shared" si="15"/>
        <v>-184219</v>
      </c>
      <c r="O31" s="36">
        <f t="shared" si="15"/>
        <v>-158235</v>
      </c>
      <c r="P31" s="34">
        <f t="shared" si="15"/>
        <v>-132546</v>
      </c>
      <c r="Q31" s="34">
        <f t="shared" si="15"/>
        <v>-136750</v>
      </c>
      <c r="R31" s="35">
        <f t="shared" si="15"/>
        <v>-131036</v>
      </c>
      <c r="S31" s="36">
        <f t="shared" si="15"/>
        <v>-100715</v>
      </c>
      <c r="T31" s="34">
        <f t="shared" si="15"/>
        <v>-84771</v>
      </c>
      <c r="U31" s="34">
        <f t="shared" si="15"/>
        <v>-76384</v>
      </c>
      <c r="V31" s="35">
        <f t="shared" si="15"/>
        <v>-86902</v>
      </c>
      <c r="W31" s="36">
        <f t="shared" si="15"/>
        <v>-83616</v>
      </c>
      <c r="X31" s="34">
        <f t="shared" si="15"/>
        <v>-60138</v>
      </c>
      <c r="Y31" s="34">
        <f t="shared" si="15"/>
        <v>-65721</v>
      </c>
      <c r="Z31" s="35">
        <f t="shared" si="15"/>
        <v>-72529</v>
      </c>
      <c r="AA31" s="36">
        <f t="shared" si="15"/>
        <v>-47324</v>
      </c>
      <c r="AB31" s="34">
        <f t="shared" si="15"/>
        <v>-42980</v>
      </c>
      <c r="AC31" s="34">
        <f t="shared" si="15"/>
        <v>-42490</v>
      </c>
      <c r="AD31" s="35">
        <f t="shared" si="15"/>
        <v>-41098</v>
      </c>
      <c r="AE31" s="36">
        <f t="shared" si="15"/>
        <v>-40862</v>
      </c>
      <c r="AF31" s="34">
        <f t="shared" si="15"/>
        <v>-48837</v>
      </c>
      <c r="AG31" s="34">
        <f t="shared" si="15"/>
        <v>-41750</v>
      </c>
      <c r="AH31" s="35">
        <f t="shared" si="15"/>
        <v>-41043</v>
      </c>
      <c r="AI31" s="36">
        <f t="shared" si="15"/>
        <v>-38234</v>
      </c>
      <c r="AJ31" s="34">
        <f t="shared" si="15"/>
        <v>-34725</v>
      </c>
      <c r="AK31" s="34">
        <f t="shared" si="15"/>
        <v>-35973</v>
      </c>
      <c r="AL31" s="35">
        <f t="shared" si="15"/>
        <v>-36565</v>
      </c>
      <c r="AM31" s="36">
        <f t="shared" si="15"/>
        <v>-38889</v>
      </c>
      <c r="AN31" s="34">
        <f t="shared" si="15"/>
        <v>-34378</v>
      </c>
      <c r="AO31" s="34">
        <f t="shared" si="15"/>
        <v>-54730</v>
      </c>
      <c r="AP31" s="35">
        <f t="shared" si="15"/>
        <v>-40464</v>
      </c>
      <c r="AQ31" s="14"/>
    </row>
    <row r="32" spans="2:43" s="1" customFormat="1">
      <c r="B32" s="12" t="s">
        <v>67</v>
      </c>
      <c r="C32" s="132">
        <v>227049</v>
      </c>
      <c r="D32" s="175">
        <f t="shared" ref="D32" si="16">D21+D31</f>
        <v>53167</v>
      </c>
      <c r="E32" s="34">
        <f t="shared" ref="E32:F32" si="17">E21+E31</f>
        <v>287686</v>
      </c>
      <c r="F32" s="34">
        <f t="shared" si="17"/>
        <v>264477</v>
      </c>
      <c r="G32" s="36">
        <f t="shared" ref="G32:Z32" si="18">G21+G31</f>
        <v>197614</v>
      </c>
      <c r="H32" s="34">
        <f t="shared" si="18"/>
        <v>261708</v>
      </c>
      <c r="I32" s="34">
        <f t="shared" si="18"/>
        <v>176430</v>
      </c>
      <c r="J32" s="35">
        <f t="shared" si="18"/>
        <v>350983</v>
      </c>
      <c r="K32" s="36">
        <f t="shared" si="18"/>
        <v>319041</v>
      </c>
      <c r="L32" s="34">
        <f t="shared" si="18"/>
        <v>116022</v>
      </c>
      <c r="M32" s="34">
        <f t="shared" si="18"/>
        <v>135757</v>
      </c>
      <c r="N32" s="35">
        <f t="shared" si="18"/>
        <v>353334</v>
      </c>
      <c r="O32" s="36">
        <f t="shared" si="18"/>
        <v>63689</v>
      </c>
      <c r="P32" s="34">
        <f t="shared" si="18"/>
        <v>261113</v>
      </c>
      <c r="Q32" s="34">
        <f t="shared" si="18"/>
        <v>259816</v>
      </c>
      <c r="R32" s="35">
        <f t="shared" si="18"/>
        <v>308769</v>
      </c>
      <c r="S32" s="36">
        <f t="shared" si="18"/>
        <v>82852</v>
      </c>
      <c r="T32" s="34">
        <f t="shared" si="18"/>
        <v>115258</v>
      </c>
      <c r="U32" s="34">
        <f t="shared" si="18"/>
        <v>-21082</v>
      </c>
      <c r="V32" s="35">
        <f t="shared" si="18"/>
        <v>99795</v>
      </c>
      <c r="W32" s="36">
        <f t="shared" si="18"/>
        <v>56346</v>
      </c>
      <c r="X32" s="34">
        <f t="shared" si="18"/>
        <v>79492</v>
      </c>
      <c r="Y32" s="34">
        <f t="shared" si="18"/>
        <v>145773</v>
      </c>
      <c r="Z32" s="34">
        <f t="shared" si="18"/>
        <v>234135</v>
      </c>
      <c r="AA32" s="36">
        <f>SUM(AA21,AA31)</f>
        <v>42247</v>
      </c>
      <c r="AB32" s="34">
        <f t="shared" ref="AB32:AP32" si="19">SUM(AB21,AB31:AB31)</f>
        <v>17972</v>
      </c>
      <c r="AC32" s="34">
        <f t="shared" si="19"/>
        <v>5401</v>
      </c>
      <c r="AD32" s="34">
        <f t="shared" si="19"/>
        <v>-208</v>
      </c>
      <c r="AE32" s="32">
        <f t="shared" si="19"/>
        <v>1924</v>
      </c>
      <c r="AF32" s="13">
        <f t="shared" si="19"/>
        <v>-1259</v>
      </c>
      <c r="AG32" s="13">
        <f t="shared" si="19"/>
        <v>42450</v>
      </c>
      <c r="AH32" s="35">
        <f t="shared" si="19"/>
        <v>72694</v>
      </c>
      <c r="AI32" s="36">
        <f t="shared" si="19"/>
        <v>37226</v>
      </c>
      <c r="AJ32" s="13">
        <f t="shared" si="19"/>
        <v>38338</v>
      </c>
      <c r="AK32" s="13">
        <f t="shared" si="19"/>
        <v>30553</v>
      </c>
      <c r="AL32" s="33">
        <f t="shared" si="19"/>
        <v>22153</v>
      </c>
      <c r="AM32" s="32">
        <f t="shared" si="19"/>
        <v>55070</v>
      </c>
      <c r="AN32" s="13">
        <f t="shared" si="19"/>
        <v>8424</v>
      </c>
      <c r="AO32" s="13">
        <f t="shared" si="19"/>
        <v>-23680</v>
      </c>
      <c r="AP32" s="33">
        <f t="shared" si="19"/>
        <v>42301</v>
      </c>
      <c r="AQ32" s="14"/>
    </row>
    <row r="33" spans="2:43" s="1" customFormat="1">
      <c r="B33" s="15" t="s">
        <v>20</v>
      </c>
      <c r="C33" s="133">
        <v>0</v>
      </c>
      <c r="D33" s="176">
        <v>0</v>
      </c>
      <c r="E33" s="40">
        <v>0</v>
      </c>
      <c r="F33" s="40">
        <v>0</v>
      </c>
      <c r="G33" s="39">
        <v>0</v>
      </c>
      <c r="H33" s="40">
        <v>0</v>
      </c>
      <c r="I33" s="40">
        <v>0</v>
      </c>
      <c r="J33" s="41">
        <v>0</v>
      </c>
      <c r="K33" s="39">
        <v>0</v>
      </c>
      <c r="L33" s="40">
        <v>0</v>
      </c>
      <c r="M33" s="40">
        <v>0</v>
      </c>
      <c r="N33" s="41">
        <v>0</v>
      </c>
      <c r="O33" s="39">
        <v>0</v>
      </c>
      <c r="P33" s="40">
        <v>0</v>
      </c>
      <c r="Q33" s="40">
        <v>0</v>
      </c>
      <c r="R33" s="41">
        <v>0</v>
      </c>
      <c r="S33" s="39">
        <v>0</v>
      </c>
      <c r="T33" s="40">
        <v>0</v>
      </c>
      <c r="U33" s="40">
        <v>0</v>
      </c>
      <c r="V33" s="41">
        <v>0</v>
      </c>
      <c r="W33" s="39">
        <v>0</v>
      </c>
      <c r="X33" s="40">
        <v>0</v>
      </c>
      <c r="Y33" s="40">
        <v>0</v>
      </c>
      <c r="Z33" s="40">
        <v>0</v>
      </c>
      <c r="AA33" s="39">
        <v>0</v>
      </c>
      <c r="AB33" s="40">
        <v>0</v>
      </c>
      <c r="AC33" s="40">
        <v>0</v>
      </c>
      <c r="AD33" s="40">
        <v>0</v>
      </c>
      <c r="AE33" s="42">
        <v>0</v>
      </c>
      <c r="AF33" s="16">
        <v>0</v>
      </c>
      <c r="AG33" s="16">
        <v>0</v>
      </c>
      <c r="AH33" s="41">
        <v>0</v>
      </c>
      <c r="AI33" s="39">
        <v>0</v>
      </c>
      <c r="AJ33" s="16">
        <v>0</v>
      </c>
      <c r="AK33" s="16">
        <v>-5612</v>
      </c>
      <c r="AL33" s="43">
        <v>0</v>
      </c>
      <c r="AM33" s="42">
        <v>0</v>
      </c>
      <c r="AN33" s="16">
        <v>0</v>
      </c>
      <c r="AO33" s="16">
        <v>0</v>
      </c>
      <c r="AP33" s="43">
        <v>0</v>
      </c>
      <c r="AQ33" s="14"/>
    </row>
    <row r="34" spans="2:43" s="1" customFormat="1">
      <c r="B34" s="9" t="s">
        <v>21</v>
      </c>
      <c r="C34" s="135">
        <v>5903</v>
      </c>
      <c r="D34" s="173">
        <v>5433</v>
      </c>
      <c r="E34" s="77">
        <v>14397</v>
      </c>
      <c r="F34" s="11">
        <v>13870</v>
      </c>
      <c r="G34" s="31">
        <v>16713</v>
      </c>
      <c r="H34" s="11">
        <v>8448</v>
      </c>
      <c r="I34" s="11">
        <v>19756</v>
      </c>
      <c r="J34" s="30">
        <v>17928</v>
      </c>
      <c r="K34" s="31">
        <v>15939</v>
      </c>
      <c r="L34" s="11">
        <v>14024</v>
      </c>
      <c r="M34" s="11">
        <v>20541</v>
      </c>
      <c r="N34" s="30">
        <v>21454</v>
      </c>
      <c r="O34" s="31">
        <v>-4417</v>
      </c>
      <c r="P34" s="11">
        <v>29711</v>
      </c>
      <c r="Q34" s="11">
        <v>16138</v>
      </c>
      <c r="R34" s="30">
        <v>1436</v>
      </c>
      <c r="S34" s="31">
        <v>4167</v>
      </c>
      <c r="T34" s="11">
        <v>13064</v>
      </c>
      <c r="U34" s="11">
        <v>-7618</v>
      </c>
      <c r="V34" s="30">
        <v>8278</v>
      </c>
      <c r="W34" s="31">
        <v>2038</v>
      </c>
      <c r="X34" s="44">
        <v>754</v>
      </c>
      <c r="Y34" s="44">
        <v>2022</v>
      </c>
      <c r="Z34" s="44">
        <v>1043</v>
      </c>
      <c r="AA34" s="31">
        <v>261</v>
      </c>
      <c r="AB34" s="44">
        <v>2408</v>
      </c>
      <c r="AC34" s="44">
        <v>1615</v>
      </c>
      <c r="AD34" s="44">
        <v>1617</v>
      </c>
      <c r="AE34" s="31">
        <v>-174</v>
      </c>
      <c r="AF34" s="11">
        <v>-1062</v>
      </c>
      <c r="AG34" s="11">
        <v>6061</v>
      </c>
      <c r="AH34" s="28">
        <v>4258</v>
      </c>
      <c r="AI34" s="29">
        <v>2533</v>
      </c>
      <c r="AJ34" s="11">
        <v>1364</v>
      </c>
      <c r="AK34" s="11">
        <v>-2080</v>
      </c>
      <c r="AL34" s="30">
        <v>4501</v>
      </c>
      <c r="AM34" s="31">
        <v>7792</v>
      </c>
      <c r="AN34" s="11">
        <v>-5343</v>
      </c>
      <c r="AO34" s="11">
        <v>7667</v>
      </c>
      <c r="AP34" s="30">
        <v>2006</v>
      </c>
      <c r="AQ34" s="14"/>
    </row>
    <row r="35" spans="2:43" s="1" customFormat="1">
      <c r="B35" s="9" t="s">
        <v>93</v>
      </c>
      <c r="C35" s="129">
        <v>-12489</v>
      </c>
      <c r="D35" s="173">
        <v>2982</v>
      </c>
      <c r="E35" s="77">
        <v>-41299</v>
      </c>
      <c r="F35" s="11">
        <v>-43788</v>
      </c>
      <c r="G35" s="31">
        <v>17628</v>
      </c>
      <c r="H35" s="11">
        <v>-18244</v>
      </c>
      <c r="I35" s="11">
        <v>-243</v>
      </c>
      <c r="J35" s="30">
        <v>-270</v>
      </c>
      <c r="K35" s="31">
        <v>-31346</v>
      </c>
      <c r="L35" s="11">
        <v>14484</v>
      </c>
      <c r="M35" s="11">
        <v>-11260</v>
      </c>
      <c r="N35" s="30">
        <v>-7776</v>
      </c>
      <c r="O35" s="31">
        <v>-208</v>
      </c>
      <c r="P35" s="11">
        <v>-277</v>
      </c>
      <c r="Q35" s="11">
        <v>1046</v>
      </c>
      <c r="R35" s="30">
        <v>-1558</v>
      </c>
      <c r="S35" s="31">
        <v>-2774</v>
      </c>
      <c r="T35" s="11">
        <v>-134</v>
      </c>
      <c r="U35" s="11">
        <v>-1236</v>
      </c>
      <c r="V35" s="30">
        <v>-114</v>
      </c>
      <c r="W35" s="31">
        <v>-1310</v>
      </c>
      <c r="X35" s="44">
        <v>-839</v>
      </c>
      <c r="Y35" s="44">
        <v>-7853</v>
      </c>
      <c r="Z35" s="44">
        <v>-12904</v>
      </c>
      <c r="AA35" s="31">
        <v>-1425</v>
      </c>
      <c r="AB35" s="44">
        <v>860</v>
      </c>
      <c r="AC35" s="44">
        <v>-974</v>
      </c>
      <c r="AD35" s="44">
        <v>-338</v>
      </c>
      <c r="AE35" s="31">
        <v>2502</v>
      </c>
      <c r="AF35" s="11">
        <v>733</v>
      </c>
      <c r="AG35" s="11">
        <v>-247</v>
      </c>
      <c r="AH35" s="28">
        <v>-3209</v>
      </c>
      <c r="AI35" s="29">
        <v>-2177</v>
      </c>
      <c r="AJ35" s="11">
        <v>602</v>
      </c>
      <c r="AK35" s="11">
        <v>207</v>
      </c>
      <c r="AL35" s="30">
        <v>-12923</v>
      </c>
      <c r="AM35" s="31">
        <v>108</v>
      </c>
      <c r="AN35" s="11">
        <v>2263</v>
      </c>
      <c r="AO35" s="11">
        <v>1216</v>
      </c>
      <c r="AP35" s="30">
        <v>-4542</v>
      </c>
      <c r="AQ35" s="14"/>
    </row>
    <row r="36" spans="2:43" s="19" customFormat="1" ht="24.5">
      <c r="B36" s="17" t="s">
        <v>91</v>
      </c>
      <c r="C36" s="130">
        <v>0</v>
      </c>
      <c r="D36" s="113">
        <v>0</v>
      </c>
      <c r="E36" s="18">
        <v>0</v>
      </c>
      <c r="F36" s="18">
        <v>0</v>
      </c>
      <c r="G36" s="45">
        <v>0</v>
      </c>
      <c r="H36" s="18">
        <v>0</v>
      </c>
      <c r="I36" s="18">
        <v>0</v>
      </c>
      <c r="J36" s="46">
        <v>0</v>
      </c>
      <c r="K36" s="45">
        <v>0</v>
      </c>
      <c r="L36" s="18">
        <v>0</v>
      </c>
      <c r="M36" s="18">
        <v>0</v>
      </c>
      <c r="N36" s="46">
        <v>0</v>
      </c>
      <c r="O36" s="45">
        <v>0</v>
      </c>
      <c r="P36" s="18">
        <v>0</v>
      </c>
      <c r="Q36" s="18">
        <v>0</v>
      </c>
      <c r="R36" s="46">
        <v>0</v>
      </c>
      <c r="S36" s="45">
        <v>0</v>
      </c>
      <c r="T36" s="18">
        <v>0</v>
      </c>
      <c r="U36" s="18">
        <v>0</v>
      </c>
      <c r="V36" s="46">
        <v>0</v>
      </c>
      <c r="W36" s="45">
        <v>0</v>
      </c>
      <c r="X36" s="47">
        <v>0</v>
      </c>
      <c r="Y36" s="47">
        <v>0</v>
      </c>
      <c r="Z36" s="47">
        <v>-21880</v>
      </c>
      <c r="AA36" s="45">
        <v>0</v>
      </c>
      <c r="AB36" s="47">
        <v>0</v>
      </c>
      <c r="AC36" s="47">
        <v>0</v>
      </c>
      <c r="AD36" s="47">
        <v>0</v>
      </c>
      <c r="AE36" s="45">
        <v>0</v>
      </c>
      <c r="AF36" s="18">
        <v>0</v>
      </c>
      <c r="AG36" s="18">
        <v>0</v>
      </c>
      <c r="AH36" s="48">
        <v>0</v>
      </c>
      <c r="AI36" s="49">
        <v>0</v>
      </c>
      <c r="AJ36" s="18">
        <v>0</v>
      </c>
      <c r="AK36" s="18">
        <v>0</v>
      </c>
      <c r="AL36" s="46">
        <v>0</v>
      </c>
      <c r="AM36" s="45">
        <v>0</v>
      </c>
      <c r="AN36" s="18">
        <v>0</v>
      </c>
      <c r="AO36" s="18">
        <v>0</v>
      </c>
      <c r="AP36" s="46">
        <v>0</v>
      </c>
      <c r="AQ36" s="50"/>
    </row>
    <row r="37" spans="2:43" s="1" customFormat="1">
      <c r="B37" s="12" t="s">
        <v>68</v>
      </c>
      <c r="C37" s="132">
        <v>220463</v>
      </c>
      <c r="D37" s="175">
        <f t="shared" ref="D37" si="20">SUM(D32:D35)</f>
        <v>61582</v>
      </c>
      <c r="E37" s="34">
        <f t="shared" ref="E37:F37" si="21">SUM(E32:E35)</f>
        <v>260784</v>
      </c>
      <c r="F37" s="34">
        <f t="shared" si="21"/>
        <v>234559</v>
      </c>
      <c r="G37" s="36">
        <f t="shared" ref="G37" si="22">SUM(G32:G35)</f>
        <v>231955</v>
      </c>
      <c r="H37" s="34">
        <f t="shared" ref="H37" si="23">SUM(H32:H35)</f>
        <v>251912</v>
      </c>
      <c r="I37" s="34">
        <f t="shared" ref="I37:N37" si="24">SUM(I32:I35)</f>
        <v>195943</v>
      </c>
      <c r="J37" s="35">
        <f t="shared" si="24"/>
        <v>368641</v>
      </c>
      <c r="K37" s="36">
        <f t="shared" si="24"/>
        <v>303634</v>
      </c>
      <c r="L37" s="34">
        <f t="shared" si="24"/>
        <v>144530</v>
      </c>
      <c r="M37" s="34">
        <f t="shared" si="24"/>
        <v>145038</v>
      </c>
      <c r="N37" s="35">
        <f t="shared" si="24"/>
        <v>367012</v>
      </c>
      <c r="O37" s="36">
        <f t="shared" ref="O37:P37" si="25">SUM(O32:O35)</f>
        <v>59064</v>
      </c>
      <c r="P37" s="34">
        <f t="shared" si="25"/>
        <v>290547</v>
      </c>
      <c r="Q37" s="34">
        <f>SUM(Q32:Q35)</f>
        <v>277000</v>
      </c>
      <c r="R37" s="35">
        <f>SUM(R32:R35)</f>
        <v>308647</v>
      </c>
      <c r="S37" s="36">
        <f>SUM(S32:S35)</f>
        <v>84245</v>
      </c>
      <c r="T37" s="34">
        <f>SUM(T32:T35)</f>
        <v>128188</v>
      </c>
      <c r="U37" s="34">
        <f>SUM(U32:U35)</f>
        <v>-29936</v>
      </c>
      <c r="V37" s="35">
        <f t="shared" ref="V37" si="26">SUM(V32:V35)</f>
        <v>107959</v>
      </c>
      <c r="W37" s="36">
        <f>SUM(W32:W35)</f>
        <v>57074</v>
      </c>
      <c r="X37" s="34">
        <f>SUM(X32:X35)</f>
        <v>79407</v>
      </c>
      <c r="Y37" s="34">
        <f>SUM(Y32:Y35)</f>
        <v>139942</v>
      </c>
      <c r="Z37" s="34">
        <f>SUM(Z32:Z35)</f>
        <v>222274</v>
      </c>
      <c r="AA37" s="36">
        <f>SUM(AA32:AA35)</f>
        <v>41083</v>
      </c>
      <c r="AB37" s="34">
        <f t="shared" ref="AB37:AP37" si="27">SUM(AB32:AB36)</f>
        <v>21240</v>
      </c>
      <c r="AC37" s="34">
        <f t="shared" si="27"/>
        <v>6042</v>
      </c>
      <c r="AD37" s="34">
        <f t="shared" si="27"/>
        <v>1071</v>
      </c>
      <c r="AE37" s="32">
        <f t="shared" si="27"/>
        <v>4252</v>
      </c>
      <c r="AF37" s="13">
        <f t="shared" si="27"/>
        <v>-1588</v>
      </c>
      <c r="AG37" s="13">
        <f t="shared" si="27"/>
        <v>48264</v>
      </c>
      <c r="AH37" s="35">
        <f t="shared" si="27"/>
        <v>73743</v>
      </c>
      <c r="AI37" s="36">
        <f t="shared" si="27"/>
        <v>37582</v>
      </c>
      <c r="AJ37" s="13">
        <f t="shared" si="27"/>
        <v>40304</v>
      </c>
      <c r="AK37" s="13">
        <f t="shared" si="27"/>
        <v>23068</v>
      </c>
      <c r="AL37" s="33">
        <f t="shared" si="27"/>
        <v>13731</v>
      </c>
      <c r="AM37" s="32">
        <f t="shared" si="27"/>
        <v>62970</v>
      </c>
      <c r="AN37" s="13">
        <f t="shared" si="27"/>
        <v>5344</v>
      </c>
      <c r="AO37" s="13">
        <f t="shared" si="27"/>
        <v>-14797</v>
      </c>
      <c r="AP37" s="33">
        <f t="shared" si="27"/>
        <v>39765</v>
      </c>
      <c r="AQ37" s="14"/>
    </row>
    <row r="38" spans="2:43" s="1" customFormat="1">
      <c r="B38" s="9" t="s">
        <v>23</v>
      </c>
      <c r="C38" s="129">
        <v>-39543</v>
      </c>
      <c r="D38" s="157">
        <v>-8355</v>
      </c>
      <c r="E38" s="77">
        <v>-44655</v>
      </c>
      <c r="F38" s="11">
        <v>-40636</v>
      </c>
      <c r="G38" s="31">
        <v>-41971</v>
      </c>
      <c r="H38" s="11">
        <v>-48086</v>
      </c>
      <c r="I38" s="11">
        <v>-35643</v>
      </c>
      <c r="J38" s="30">
        <v>-65895</v>
      </c>
      <c r="K38" s="31">
        <v>-54615</v>
      </c>
      <c r="L38" s="11">
        <v>-23403</v>
      </c>
      <c r="M38" s="11">
        <v>-26855</v>
      </c>
      <c r="N38" s="30">
        <v>-64198</v>
      </c>
      <c r="O38" s="31">
        <v>-8757</v>
      </c>
      <c r="P38" s="11">
        <v>-54328</v>
      </c>
      <c r="Q38" s="11">
        <v>-50069</v>
      </c>
      <c r="R38" s="30">
        <v>-56008</v>
      </c>
      <c r="S38" s="31">
        <v>-15726</v>
      </c>
      <c r="T38" s="11">
        <v>-23883</v>
      </c>
      <c r="U38" s="11">
        <v>5891</v>
      </c>
      <c r="V38" s="30">
        <v>-18908</v>
      </c>
      <c r="W38" s="31">
        <v>-16843</v>
      </c>
      <c r="X38" s="44">
        <v>-11010</v>
      </c>
      <c r="Y38" s="44">
        <v>-22452</v>
      </c>
      <c r="Z38" s="44">
        <v>-46305</v>
      </c>
      <c r="AA38" s="31">
        <v>-4045</v>
      </c>
      <c r="AB38" s="44">
        <v>-5733</v>
      </c>
      <c r="AC38" s="44">
        <v>-1649</v>
      </c>
      <c r="AD38" s="44">
        <v>-308</v>
      </c>
      <c r="AE38" s="31">
        <v>-279</v>
      </c>
      <c r="AF38" s="11">
        <v>-1316</v>
      </c>
      <c r="AG38" s="11">
        <v>-7349</v>
      </c>
      <c r="AH38" s="28">
        <v>-14256</v>
      </c>
      <c r="AI38" s="29">
        <v>-5309</v>
      </c>
      <c r="AJ38" s="11">
        <v>-8962</v>
      </c>
      <c r="AK38" s="11">
        <v>-4350</v>
      </c>
      <c r="AL38" s="30">
        <v>-3091</v>
      </c>
      <c r="AM38" s="31">
        <v>-12548</v>
      </c>
      <c r="AN38" s="11">
        <v>-1106</v>
      </c>
      <c r="AO38" s="11">
        <v>5985</v>
      </c>
      <c r="AP38" s="30">
        <v>-7906</v>
      </c>
      <c r="AQ38" s="14"/>
    </row>
    <row r="39" spans="2:43" s="1" customFormat="1">
      <c r="B39" s="12" t="s">
        <v>69</v>
      </c>
      <c r="C39" s="132">
        <v>180920</v>
      </c>
      <c r="D39" s="175">
        <f t="shared" ref="D39" si="28">D37+D38</f>
        <v>53227</v>
      </c>
      <c r="E39" s="34">
        <f t="shared" ref="E39:F39" si="29">E37+E38</f>
        <v>216129</v>
      </c>
      <c r="F39" s="34">
        <f t="shared" si="29"/>
        <v>193923</v>
      </c>
      <c r="G39" s="36">
        <f t="shared" ref="G39" si="30">G37+G38</f>
        <v>189984</v>
      </c>
      <c r="H39" s="34">
        <f t="shared" ref="H39" si="31">H37+H38</f>
        <v>203826</v>
      </c>
      <c r="I39" s="34">
        <f t="shared" ref="I39:N39" si="32">I37+I38</f>
        <v>160300</v>
      </c>
      <c r="J39" s="35">
        <f t="shared" si="32"/>
        <v>302746</v>
      </c>
      <c r="K39" s="36">
        <f t="shared" si="32"/>
        <v>249019</v>
      </c>
      <c r="L39" s="34">
        <f t="shared" si="32"/>
        <v>121127</v>
      </c>
      <c r="M39" s="34">
        <f t="shared" si="32"/>
        <v>118183</v>
      </c>
      <c r="N39" s="35">
        <f t="shared" si="32"/>
        <v>302814</v>
      </c>
      <c r="O39" s="36">
        <f t="shared" ref="O39:P39" si="33">O37+O38</f>
        <v>50307</v>
      </c>
      <c r="P39" s="34">
        <f t="shared" si="33"/>
        <v>236219</v>
      </c>
      <c r="Q39" s="34">
        <f t="shared" ref="Q39:R39" si="34">Q37+Q38</f>
        <v>226931</v>
      </c>
      <c r="R39" s="35">
        <f t="shared" si="34"/>
        <v>252639</v>
      </c>
      <c r="S39" s="36">
        <f t="shared" ref="S39:T39" si="35">S37+S38</f>
        <v>68519</v>
      </c>
      <c r="T39" s="34">
        <f t="shared" si="35"/>
        <v>104305</v>
      </c>
      <c r="U39" s="34">
        <f t="shared" ref="U39:Z39" si="36">U37+U38</f>
        <v>-24045</v>
      </c>
      <c r="V39" s="35">
        <f t="shared" si="36"/>
        <v>89051</v>
      </c>
      <c r="W39" s="36">
        <f t="shared" si="36"/>
        <v>40231</v>
      </c>
      <c r="X39" s="34">
        <f t="shared" si="36"/>
        <v>68397</v>
      </c>
      <c r="Y39" s="34">
        <f t="shared" si="36"/>
        <v>117490</v>
      </c>
      <c r="Z39" s="34">
        <f t="shared" si="36"/>
        <v>175969</v>
      </c>
      <c r="AA39" s="36">
        <f>SUM(AA37:AA38)</f>
        <v>37038</v>
      </c>
      <c r="AB39" s="34">
        <f t="shared" ref="AB39" si="37">SUM(AB37:AB38)</f>
        <v>15507</v>
      </c>
      <c r="AC39" s="34">
        <f t="shared" ref="AC39" si="38">SUM(AC37:AC38)</f>
        <v>4393</v>
      </c>
      <c r="AD39" s="34">
        <f t="shared" ref="AD39" si="39">SUM(AD37:AD38)</f>
        <v>763</v>
      </c>
      <c r="AE39" s="32">
        <f t="shared" ref="AE39:AF39" si="40">SUM(AE37:AE38)</f>
        <v>3973</v>
      </c>
      <c r="AF39" s="13">
        <f t="shared" si="40"/>
        <v>-2904</v>
      </c>
      <c r="AG39" s="13">
        <f t="shared" ref="AG39" si="41">SUM(AG37:AG38)</f>
        <v>40915</v>
      </c>
      <c r="AH39" s="35">
        <f t="shared" ref="AH39" si="42">SUM(AH37:AH38)</f>
        <v>59487</v>
      </c>
      <c r="AI39" s="36">
        <f t="shared" ref="AI39" si="43">SUM(AI37:AI38)</f>
        <v>32273</v>
      </c>
      <c r="AJ39" s="13">
        <f t="shared" ref="AJ39:AL39" si="44">SUM(AJ37:AJ38)</f>
        <v>31342</v>
      </c>
      <c r="AK39" s="13">
        <f t="shared" si="44"/>
        <v>18718</v>
      </c>
      <c r="AL39" s="33">
        <f t="shared" si="44"/>
        <v>10640</v>
      </c>
      <c r="AM39" s="32">
        <f t="shared" ref="AM39:AN39" si="45">SUM(AM37:AM38)</f>
        <v>50422</v>
      </c>
      <c r="AN39" s="13">
        <f t="shared" si="45"/>
        <v>4238</v>
      </c>
      <c r="AO39" s="13">
        <f t="shared" ref="AO39:AP39" si="46">SUM(AO37:AO38)</f>
        <v>-8812</v>
      </c>
      <c r="AP39" s="33">
        <f t="shared" si="46"/>
        <v>31859</v>
      </c>
      <c r="AQ39" s="14"/>
    </row>
    <row r="40" spans="2:43" s="19" customFormat="1" ht="14.5">
      <c r="B40" s="57" t="s">
        <v>105</v>
      </c>
      <c r="C40" s="136">
        <v>180902</v>
      </c>
      <c r="D40" s="177">
        <v>53222</v>
      </c>
      <c r="E40" s="78">
        <v>216125</v>
      </c>
      <c r="F40" s="18">
        <v>193946</v>
      </c>
      <c r="G40" s="45">
        <v>190028</v>
      </c>
      <c r="H40" s="18">
        <v>203898</v>
      </c>
      <c r="I40" s="18">
        <v>160332</v>
      </c>
      <c r="J40" s="46">
        <v>302767</v>
      </c>
      <c r="K40" s="45">
        <v>249049</v>
      </c>
      <c r="L40" s="18">
        <v>121127</v>
      </c>
      <c r="M40" s="18">
        <v>118183</v>
      </c>
      <c r="N40" s="46">
        <v>302814</v>
      </c>
      <c r="O40" s="45">
        <v>50307</v>
      </c>
      <c r="P40" s="18">
        <v>236219</v>
      </c>
      <c r="Q40" s="18">
        <v>226931</v>
      </c>
      <c r="R40" s="46">
        <v>252639</v>
      </c>
      <c r="S40" s="45">
        <v>68519</v>
      </c>
      <c r="T40" s="18">
        <v>104305</v>
      </c>
      <c r="U40" s="18">
        <v>-24045</v>
      </c>
      <c r="V40" s="46">
        <v>89051</v>
      </c>
      <c r="W40" s="45">
        <v>40231</v>
      </c>
      <c r="X40" s="47">
        <v>68397</v>
      </c>
      <c r="Y40" s="47">
        <v>117490</v>
      </c>
      <c r="Z40" s="48">
        <v>175969</v>
      </c>
      <c r="AA40" s="45">
        <v>37038</v>
      </c>
      <c r="AB40" s="47">
        <v>15507</v>
      </c>
      <c r="AC40" s="47">
        <v>4393</v>
      </c>
      <c r="AD40" s="47">
        <v>763</v>
      </c>
      <c r="AE40" s="45">
        <v>3973</v>
      </c>
      <c r="AF40" s="18">
        <v>-2904</v>
      </c>
      <c r="AG40" s="18">
        <v>40915</v>
      </c>
      <c r="AH40" s="48">
        <v>59487</v>
      </c>
      <c r="AI40" s="49">
        <v>32273</v>
      </c>
      <c r="AJ40" s="18">
        <v>31342</v>
      </c>
      <c r="AK40" s="18">
        <v>18718</v>
      </c>
      <c r="AL40" s="46">
        <v>10640</v>
      </c>
      <c r="AM40" s="45">
        <v>50422</v>
      </c>
      <c r="AN40" s="18">
        <v>4238</v>
      </c>
      <c r="AO40" s="18">
        <v>-8812</v>
      </c>
      <c r="AP40" s="46">
        <v>31859</v>
      </c>
    </row>
    <row r="41" spans="2:43" s="19" customFormat="1" ht="14.5">
      <c r="B41" s="58" t="s">
        <v>106</v>
      </c>
      <c r="C41" s="139">
        <v>19</v>
      </c>
      <c r="D41" s="178">
        <v>7</v>
      </c>
      <c r="E41" s="98">
        <v>4</v>
      </c>
      <c r="F41" s="52">
        <v>-23</v>
      </c>
      <c r="G41" s="51">
        <v>-44</v>
      </c>
      <c r="H41" s="52">
        <v>-72</v>
      </c>
      <c r="I41" s="52">
        <v>-32</v>
      </c>
      <c r="J41" s="53">
        <v>-21</v>
      </c>
      <c r="K41" s="51">
        <v>0</v>
      </c>
      <c r="L41" s="52">
        <v>0</v>
      </c>
      <c r="M41" s="52">
        <v>0</v>
      </c>
      <c r="N41" s="53">
        <v>0</v>
      </c>
      <c r="O41" s="51">
        <v>0</v>
      </c>
      <c r="P41" s="52">
        <v>0</v>
      </c>
      <c r="Q41" s="52">
        <v>0</v>
      </c>
      <c r="R41" s="53">
        <v>0</v>
      </c>
      <c r="S41" s="51">
        <v>0</v>
      </c>
      <c r="T41" s="52">
        <v>0</v>
      </c>
      <c r="U41" s="52">
        <v>0</v>
      </c>
      <c r="V41" s="53">
        <v>0</v>
      </c>
      <c r="W41" s="51">
        <v>0</v>
      </c>
      <c r="X41" s="52">
        <v>0</v>
      </c>
      <c r="Y41" s="52">
        <v>0</v>
      </c>
      <c r="Z41" s="53">
        <v>0</v>
      </c>
      <c r="AA41" s="51">
        <v>0</v>
      </c>
      <c r="AB41" s="52">
        <v>0</v>
      </c>
      <c r="AC41" s="52">
        <v>0</v>
      </c>
      <c r="AD41" s="52">
        <v>0</v>
      </c>
      <c r="AE41" s="54">
        <v>0</v>
      </c>
      <c r="AF41" s="55">
        <v>0</v>
      </c>
      <c r="AG41" s="55">
        <v>0</v>
      </c>
      <c r="AH41" s="53">
        <v>0</v>
      </c>
      <c r="AI41" s="51">
        <v>0</v>
      </c>
      <c r="AJ41" s="55">
        <v>0</v>
      </c>
      <c r="AK41" s="55">
        <v>0</v>
      </c>
      <c r="AL41" s="56">
        <v>0</v>
      </c>
      <c r="AM41" s="54">
        <v>0</v>
      </c>
      <c r="AN41" s="55">
        <v>0</v>
      </c>
      <c r="AO41" s="55">
        <v>0</v>
      </c>
      <c r="AP41" s="56">
        <v>0</v>
      </c>
    </row>
    <row r="42" spans="2:43" s="1" customFormat="1" ht="7.5" customHeight="1">
      <c r="B42" s="9"/>
      <c r="C42" s="9"/>
      <c r="D42" s="9"/>
      <c r="E42" s="9"/>
      <c r="F42" s="9"/>
      <c r="G42" s="9"/>
      <c r="H42" s="9"/>
      <c r="I42" s="9"/>
      <c r="J42" s="9"/>
      <c r="K42" s="9"/>
      <c r="L42" s="9"/>
    </row>
    <row r="43" spans="2:43" s="1" customFormat="1">
      <c r="B43" s="22" t="s">
        <v>9</v>
      </c>
      <c r="C43" s="22"/>
      <c r="D43" s="22"/>
      <c r="E43" s="9"/>
      <c r="F43" s="9"/>
      <c r="G43" s="9"/>
      <c r="H43" s="9"/>
      <c r="I43" s="9"/>
      <c r="J43" s="9"/>
      <c r="K43" s="9"/>
      <c r="L43" s="9"/>
    </row>
    <row r="44" spans="2:43" s="1" customFormat="1">
      <c r="B44" s="9"/>
      <c r="C44" s="9"/>
      <c r="D44" s="9"/>
      <c r="E44" s="9"/>
      <c r="F44" s="9"/>
      <c r="G44" s="9"/>
      <c r="H44" s="9"/>
      <c r="I44" s="9"/>
      <c r="J44" s="9"/>
      <c r="K44" s="9"/>
      <c r="L44" s="9"/>
    </row>
    <row r="45" spans="2:43" s="1" customFormat="1" ht="18">
      <c r="B45" s="82" t="s">
        <v>129</v>
      </c>
      <c r="C45" s="82"/>
      <c r="D45" s="82"/>
      <c r="E45" s="9"/>
      <c r="F45" s="9"/>
      <c r="G45" s="9"/>
      <c r="H45" s="9"/>
      <c r="I45" s="9"/>
      <c r="J45" s="9"/>
      <c r="K45" s="9"/>
      <c r="L45" s="9"/>
    </row>
    <row r="46" spans="2:43" s="1" customFormat="1">
      <c r="B46" s="164" t="s">
        <v>58</v>
      </c>
      <c r="C46" s="96"/>
      <c r="D46" s="95"/>
      <c r="E46" s="3"/>
      <c r="F46" s="3"/>
      <c r="G46" s="167" t="s">
        <v>27</v>
      </c>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row>
    <row r="47" spans="2:43" s="1" customFormat="1" ht="17.25" customHeight="1">
      <c r="B47" s="165"/>
      <c r="C47" s="25" t="s">
        <v>155</v>
      </c>
      <c r="D47" s="25" t="s">
        <v>152</v>
      </c>
      <c r="E47" s="73" t="s">
        <v>150</v>
      </c>
      <c r="F47" s="73" t="s">
        <v>117</v>
      </c>
      <c r="G47" s="24" t="s">
        <v>116</v>
      </c>
      <c r="H47" s="25" t="s">
        <v>112</v>
      </c>
      <c r="I47" s="25" t="s">
        <v>108</v>
      </c>
      <c r="J47" s="25" t="s">
        <v>104</v>
      </c>
      <c r="K47" s="24" t="s">
        <v>140</v>
      </c>
      <c r="L47" s="25" t="s">
        <v>141</v>
      </c>
      <c r="M47" s="25" t="s">
        <v>142</v>
      </c>
      <c r="N47" s="25" t="s">
        <v>143</v>
      </c>
      <c r="O47" s="24" t="s">
        <v>144</v>
      </c>
      <c r="P47" s="25" t="s">
        <v>145</v>
      </c>
      <c r="Q47" s="25" t="s">
        <v>146</v>
      </c>
      <c r="R47" s="26" t="s">
        <v>147</v>
      </c>
      <c r="S47" s="24" t="s">
        <v>99</v>
      </c>
      <c r="T47" s="25" t="s">
        <v>96</v>
      </c>
      <c r="U47" s="25" t="s">
        <v>95</v>
      </c>
      <c r="V47" s="26" t="s">
        <v>94</v>
      </c>
      <c r="W47" s="24" t="s">
        <v>92</v>
      </c>
      <c r="X47" s="25" t="s">
        <v>89</v>
      </c>
      <c r="Y47" s="25" t="s">
        <v>88</v>
      </c>
      <c r="Z47" s="26" t="s">
        <v>87</v>
      </c>
      <c r="AA47" s="24" t="s">
        <v>85</v>
      </c>
      <c r="AB47" s="25" t="s">
        <v>84</v>
      </c>
      <c r="AC47" s="25" t="s">
        <v>83</v>
      </c>
      <c r="AD47" s="26" t="s">
        <v>70</v>
      </c>
      <c r="AE47" s="24" t="s">
        <v>71</v>
      </c>
      <c r="AF47" s="25" t="s">
        <v>72</v>
      </c>
      <c r="AG47" s="25" t="s">
        <v>73</v>
      </c>
      <c r="AH47" s="26" t="s">
        <v>74</v>
      </c>
      <c r="AI47" s="24" t="s">
        <v>75</v>
      </c>
      <c r="AJ47" s="25" t="s">
        <v>76</v>
      </c>
      <c r="AK47" s="25" t="s">
        <v>77</v>
      </c>
      <c r="AL47" s="26" t="s">
        <v>78</v>
      </c>
      <c r="AM47" s="24" t="s">
        <v>79</v>
      </c>
      <c r="AN47" s="25" t="s">
        <v>80</v>
      </c>
      <c r="AO47" s="25" t="s">
        <v>81</v>
      </c>
      <c r="AP47" s="26" t="s">
        <v>82</v>
      </c>
    </row>
    <row r="48" spans="2:43" s="1" customFormat="1">
      <c r="B48" s="79" t="s">
        <v>131</v>
      </c>
      <c r="C48" s="142">
        <v>421344</v>
      </c>
      <c r="D48" s="173">
        <v>269149</v>
      </c>
      <c r="E48" s="77">
        <v>365760</v>
      </c>
      <c r="F48" s="77">
        <v>391651</v>
      </c>
      <c r="G48" s="89">
        <f>1196513-H48-I48-J48</f>
        <v>306797</v>
      </c>
      <c r="H48" s="77">
        <v>289111</v>
      </c>
      <c r="I48" s="77">
        <f>600605-J48</f>
        <v>234615</v>
      </c>
      <c r="J48" s="90">
        <v>365990</v>
      </c>
      <c r="K48" s="89">
        <v>336664</v>
      </c>
      <c r="L48" s="77">
        <v>129600</v>
      </c>
      <c r="M48" s="77">
        <v>171946</v>
      </c>
      <c r="N48" s="90">
        <v>345133</v>
      </c>
      <c r="O48" s="89">
        <v>94550</v>
      </c>
      <c r="P48" s="77">
        <v>251072</v>
      </c>
      <c r="Q48" s="77">
        <v>287388</v>
      </c>
      <c r="R48" s="90">
        <v>216857</v>
      </c>
      <c r="S48" s="89">
        <f>327289-T48-U48-V48</f>
        <v>104382</v>
      </c>
      <c r="T48" s="77">
        <v>106597</v>
      </c>
      <c r="U48" s="77">
        <f>116310-V48</f>
        <v>5898</v>
      </c>
      <c r="V48" s="90">
        <v>110412</v>
      </c>
      <c r="W48" s="89">
        <f>404414-X48-Y48-Z48</f>
        <v>87840</v>
      </c>
      <c r="X48" s="77">
        <v>59450</v>
      </c>
      <c r="Y48" s="77">
        <f>257124-Z48</f>
        <v>106062</v>
      </c>
      <c r="Z48" s="90">
        <v>151062</v>
      </c>
      <c r="AA48" s="89">
        <f>121334-AB48-AC48-AD48</f>
        <v>42379</v>
      </c>
      <c r="AB48" s="77">
        <v>34252</v>
      </c>
      <c r="AC48" s="77">
        <f>44703-AD48</f>
        <v>19706</v>
      </c>
      <c r="AD48" s="90">
        <v>24997</v>
      </c>
      <c r="AE48" s="89">
        <f>140494-AF48-AG48-AH48</f>
        <v>7800</v>
      </c>
      <c r="AF48" s="77">
        <v>27976</v>
      </c>
      <c r="AG48" s="77">
        <f>104718-AH48</f>
        <v>50926</v>
      </c>
      <c r="AH48" s="90">
        <v>53792</v>
      </c>
      <c r="AI48" s="89">
        <f>131423-AJ48-AK48-AL48</f>
        <v>41238</v>
      </c>
      <c r="AJ48" s="77">
        <v>40020</v>
      </c>
      <c r="AK48" s="77">
        <f>50165-AL48</f>
        <v>27272</v>
      </c>
      <c r="AL48" s="90">
        <v>22893</v>
      </c>
      <c r="AM48" s="89">
        <f>128915-AN48-AO48-AP48</f>
        <v>58602</v>
      </c>
      <c r="AN48" s="77">
        <v>23340</v>
      </c>
      <c r="AO48" s="77">
        <f>46973-AP48</f>
        <v>8713</v>
      </c>
      <c r="AP48" s="90">
        <v>38260</v>
      </c>
    </row>
    <row r="49" spans="2:42" s="1" customFormat="1">
      <c r="B49" s="75" t="s">
        <v>132</v>
      </c>
      <c r="C49" s="143">
        <v>341443</v>
      </c>
      <c r="D49" s="174">
        <v>220922</v>
      </c>
      <c r="E49" s="78">
        <v>291334</v>
      </c>
      <c r="F49" s="78">
        <v>314651</v>
      </c>
      <c r="G49" s="91">
        <f>956542-H49-I49-J49</f>
        <v>256919</v>
      </c>
      <c r="H49" s="78">
        <v>222722</v>
      </c>
      <c r="I49" s="78">
        <f>476901-J49</f>
        <v>189281</v>
      </c>
      <c r="J49" s="92">
        <v>287620</v>
      </c>
      <c r="K49" s="91">
        <v>289203</v>
      </c>
      <c r="L49" s="78">
        <v>62432</v>
      </c>
      <c r="M49" s="78">
        <v>124431</v>
      </c>
      <c r="N49" s="92">
        <v>280038</v>
      </c>
      <c r="O49" s="91">
        <v>76934</v>
      </c>
      <c r="P49" s="78">
        <v>195423</v>
      </c>
      <c r="Q49" s="78">
        <v>213374</v>
      </c>
      <c r="R49" s="92">
        <v>119975</v>
      </c>
      <c r="S49" s="91">
        <f>209804-T49-U49-V49</f>
        <v>77887</v>
      </c>
      <c r="T49" s="78">
        <v>64413</v>
      </c>
      <c r="U49" s="78">
        <f>67504-V49</f>
        <v>-2991</v>
      </c>
      <c r="V49" s="92">
        <v>70495</v>
      </c>
      <c r="W49" s="91">
        <f>295148-X49-Y49-Z49</f>
        <v>70038</v>
      </c>
      <c r="X49" s="78">
        <v>48180</v>
      </c>
      <c r="Y49" s="78">
        <f>176930-Z49</f>
        <v>91498</v>
      </c>
      <c r="Z49" s="92">
        <v>85432</v>
      </c>
      <c r="AA49" s="91">
        <f>95390-AB49-AC49-AD49</f>
        <v>33967</v>
      </c>
      <c r="AB49" s="78">
        <v>25211</v>
      </c>
      <c r="AC49" s="78">
        <f>36212-AD49</f>
        <v>13893</v>
      </c>
      <c r="AD49" s="92">
        <v>22319</v>
      </c>
      <c r="AE49" s="91">
        <f>72525-AF49-AG49-AH49</f>
        <v>-9739</v>
      </c>
      <c r="AF49" s="78">
        <v>18265</v>
      </c>
      <c r="AG49" s="78">
        <f>63999-AH49</f>
        <v>33655</v>
      </c>
      <c r="AH49" s="92">
        <v>30344</v>
      </c>
      <c r="AI49" s="91">
        <f>78332-AJ49-AK49-AL49</f>
        <v>29837</v>
      </c>
      <c r="AJ49" s="78">
        <v>24173</v>
      </c>
      <c r="AK49" s="78">
        <f>24322-AL49</f>
        <v>13712</v>
      </c>
      <c r="AL49" s="92">
        <v>10610</v>
      </c>
      <c r="AM49" s="91">
        <f>80008-AN49-AO49-AP49</f>
        <v>38335</v>
      </c>
      <c r="AN49" s="78">
        <v>15052</v>
      </c>
      <c r="AO49" s="78">
        <f>26621-AP49</f>
        <v>4087</v>
      </c>
      <c r="AP49" s="92">
        <v>22534</v>
      </c>
    </row>
    <row r="50" spans="2:42" s="1" customFormat="1">
      <c r="B50" s="79" t="s">
        <v>133</v>
      </c>
      <c r="C50" s="142">
        <v>101337</v>
      </c>
      <c r="D50" s="173">
        <v>48691</v>
      </c>
      <c r="E50" s="77">
        <v>128520</v>
      </c>
      <c r="F50" s="77">
        <v>108861</v>
      </c>
      <c r="G50" s="89">
        <f>355868-H50-I50-J50</f>
        <v>67392</v>
      </c>
      <c r="H50" s="77">
        <v>103510</v>
      </c>
      <c r="I50" s="77">
        <f>184966-J50</f>
        <v>68174</v>
      </c>
      <c r="J50" s="90">
        <v>116792</v>
      </c>
      <c r="K50" s="89">
        <v>93618</v>
      </c>
      <c r="L50" s="77">
        <v>84197</v>
      </c>
      <c r="M50" s="77">
        <v>65838</v>
      </c>
      <c r="N50" s="90">
        <v>125935</v>
      </c>
      <c r="O50" s="89">
        <v>62313</v>
      </c>
      <c r="P50" s="77">
        <v>75104</v>
      </c>
      <c r="Q50" s="77">
        <v>72410</v>
      </c>
      <c r="R50" s="90">
        <v>146374</v>
      </c>
      <c r="S50" s="89">
        <f>165349-T50-U50-V50</f>
        <v>38675</v>
      </c>
      <c r="T50" s="77">
        <v>50512</v>
      </c>
      <c r="U50" s="77">
        <f>76162-V50</f>
        <v>22823</v>
      </c>
      <c r="V50" s="90">
        <v>53339</v>
      </c>
      <c r="W50" s="89">
        <f>303177-X50-Y50-Z50</f>
        <v>33095</v>
      </c>
      <c r="X50" s="77">
        <v>54550</v>
      </c>
      <c r="Y50" s="77">
        <f>215532-Z50</f>
        <v>83142</v>
      </c>
      <c r="Z50" s="90">
        <v>132390</v>
      </c>
      <c r="AA50" s="89">
        <f>90934-AB50-AC50-AD50</f>
        <v>31064</v>
      </c>
      <c r="AB50" s="77">
        <v>22934</v>
      </c>
      <c r="AC50" s="77">
        <f>36936-AD50</f>
        <v>24010</v>
      </c>
      <c r="AD50" s="90">
        <v>12926</v>
      </c>
      <c r="AE50" s="89">
        <f>124488-AF50-AG50-AH50</f>
        <v>27060</v>
      </c>
      <c r="AF50" s="77">
        <v>14295</v>
      </c>
      <c r="AG50" s="77">
        <f>83133-AH50</f>
        <v>28995</v>
      </c>
      <c r="AH50" s="90">
        <v>54138</v>
      </c>
      <c r="AI50" s="89">
        <f>128564-AJ50-AK50-AL50</f>
        <v>32156</v>
      </c>
      <c r="AJ50" s="77">
        <v>29367</v>
      </c>
      <c r="AK50" s="77">
        <f>67041-AL50</f>
        <v>36115</v>
      </c>
      <c r="AL50" s="90">
        <v>30926</v>
      </c>
      <c r="AM50" s="89">
        <f>105986-AN50-AO50-AP50</f>
        <v>28524</v>
      </c>
      <c r="AN50" s="77">
        <v>19101</v>
      </c>
      <c r="AO50" s="77">
        <f>58361-AP50</f>
        <v>21069</v>
      </c>
      <c r="AP50" s="90">
        <v>37292</v>
      </c>
    </row>
    <row r="51" spans="2:42" s="1" customFormat="1">
      <c r="B51" s="79" t="s">
        <v>149</v>
      </c>
      <c r="C51" s="140">
        <v>-5807</v>
      </c>
      <c r="D51" s="173">
        <v>35355</v>
      </c>
      <c r="E51" s="77">
        <v>63946</v>
      </c>
      <c r="F51" s="77">
        <v>34765</v>
      </c>
      <c r="G51" s="89">
        <f>117930-H51-I51-J51</f>
        <v>17433</v>
      </c>
      <c r="H51" s="77">
        <v>34188</v>
      </c>
      <c r="I51" s="77">
        <f>66309-J51</f>
        <v>33004</v>
      </c>
      <c r="J51" s="90">
        <v>33305</v>
      </c>
      <c r="K51" s="89">
        <v>39573</v>
      </c>
      <c r="L51" s="77">
        <v>37190</v>
      </c>
      <c r="M51" s="77">
        <v>32227</v>
      </c>
      <c r="N51" s="90">
        <v>38705</v>
      </c>
      <c r="O51" s="89">
        <v>41980</v>
      </c>
      <c r="P51" s="77">
        <v>49613</v>
      </c>
      <c r="Q51" s="77">
        <v>29277</v>
      </c>
      <c r="R51" s="90">
        <v>76381</v>
      </c>
      <c r="S51" s="89">
        <f>127745-T51-U51-V51</f>
        <v>35758</v>
      </c>
      <c r="T51" s="77">
        <v>42460</v>
      </c>
      <c r="U51" s="77">
        <f>49527-V51</f>
        <v>26581</v>
      </c>
      <c r="V51" s="90">
        <v>22946</v>
      </c>
      <c r="W51" s="89">
        <f>90159-X51-Y51-Z51</f>
        <v>19027</v>
      </c>
      <c r="X51" s="77">
        <v>25630</v>
      </c>
      <c r="Y51" s="77">
        <f>45502-Z51</f>
        <v>22290</v>
      </c>
      <c r="Z51" s="90">
        <v>23212</v>
      </c>
      <c r="AA51" s="89">
        <f>27036-AB51-AC51-AD51</f>
        <v>16128</v>
      </c>
      <c r="AB51" s="77">
        <v>3766</v>
      </c>
      <c r="AC51" s="77">
        <f>7142-AD51</f>
        <v>4175</v>
      </c>
      <c r="AD51" s="90">
        <v>2967</v>
      </c>
      <c r="AE51" s="89">
        <f>23319-AF51-AG51-AH51</f>
        <v>7926</v>
      </c>
      <c r="AF51" s="77">
        <v>5307</v>
      </c>
      <c r="AG51" s="77">
        <f>10086-AH51</f>
        <v>4279</v>
      </c>
      <c r="AH51" s="90">
        <v>5807</v>
      </c>
      <c r="AI51" s="89">
        <f>13780-AJ51-AK51-AL51</f>
        <v>2066</v>
      </c>
      <c r="AJ51" s="77">
        <v>3676</v>
      </c>
      <c r="AK51" s="77">
        <f>8038-AL51</f>
        <v>3139</v>
      </c>
      <c r="AL51" s="90">
        <v>4899</v>
      </c>
      <c r="AM51" s="89">
        <f>15675-AN51-AO51-AP51</f>
        <v>6833</v>
      </c>
      <c r="AN51" s="77">
        <v>361</v>
      </c>
      <c r="AO51" s="77">
        <f>8481-AP51</f>
        <v>1268</v>
      </c>
      <c r="AP51" s="90">
        <v>7213</v>
      </c>
    </row>
    <row r="52" spans="2:42" s="1" customFormat="1">
      <c r="B52" s="79" t="s">
        <v>134</v>
      </c>
      <c r="C52" s="142">
        <v>92465</v>
      </c>
      <c r="D52" s="173">
        <v>22627</v>
      </c>
      <c r="E52" s="77">
        <v>22552</v>
      </c>
      <c r="F52" s="77">
        <v>44836</v>
      </c>
      <c r="G52" s="89">
        <f>203117-H52-I52-J52</f>
        <v>73794</v>
      </c>
      <c r="H52" s="77">
        <v>43425</v>
      </c>
      <c r="I52" s="77">
        <f>85898-J52</f>
        <v>46044</v>
      </c>
      <c r="J52" s="90">
        <v>39854</v>
      </c>
      <c r="K52" s="89">
        <v>36855</v>
      </c>
      <c r="L52" s="77">
        <v>30001</v>
      </c>
      <c r="M52" s="77">
        <v>23123</v>
      </c>
      <c r="N52" s="90">
        <v>27780</v>
      </c>
      <c r="O52" s="89">
        <v>23081</v>
      </c>
      <c r="P52" s="77">
        <v>17870</v>
      </c>
      <c r="Q52" s="77">
        <v>7491</v>
      </c>
      <c r="R52" s="90">
        <v>193</v>
      </c>
      <c r="S52" s="89">
        <f>5212-T52</f>
        <v>4752</v>
      </c>
      <c r="T52" s="77">
        <v>460</v>
      </c>
      <c r="U52" s="77">
        <v>0</v>
      </c>
      <c r="V52" s="90">
        <v>0</v>
      </c>
      <c r="W52" s="89">
        <v>0</v>
      </c>
      <c r="X52" s="77">
        <v>0</v>
      </c>
      <c r="Y52" s="77">
        <v>0</v>
      </c>
      <c r="Z52" s="90">
        <v>0</v>
      </c>
      <c r="AA52" s="89">
        <v>0</v>
      </c>
      <c r="AB52" s="77">
        <v>0</v>
      </c>
      <c r="AC52" s="77">
        <v>0</v>
      </c>
      <c r="AD52" s="90">
        <v>0</v>
      </c>
      <c r="AE52" s="89">
        <v>0</v>
      </c>
      <c r="AF52" s="77">
        <v>0</v>
      </c>
      <c r="AG52" s="77">
        <v>0</v>
      </c>
      <c r="AH52" s="90">
        <v>0</v>
      </c>
      <c r="AI52" s="89">
        <v>0</v>
      </c>
      <c r="AJ52" s="77">
        <v>0</v>
      </c>
      <c r="AK52" s="77">
        <v>0</v>
      </c>
      <c r="AL52" s="90">
        <v>0</v>
      </c>
      <c r="AM52" s="89">
        <v>0</v>
      </c>
      <c r="AN52" s="77">
        <v>0</v>
      </c>
      <c r="AO52" s="77">
        <v>0</v>
      </c>
      <c r="AP52" s="90">
        <v>0</v>
      </c>
    </row>
    <row r="53" spans="2:42" s="1" customFormat="1">
      <c r="B53" s="79" t="s">
        <v>135</v>
      </c>
      <c r="C53" s="140">
        <v>5</v>
      </c>
      <c r="D53" s="157">
        <v>-1</v>
      </c>
      <c r="E53" s="77">
        <v>-181</v>
      </c>
      <c r="F53" s="77">
        <v>181</v>
      </c>
      <c r="G53" s="89">
        <v>0</v>
      </c>
      <c r="H53" s="77">
        <v>0</v>
      </c>
      <c r="I53" s="77">
        <v>1</v>
      </c>
      <c r="J53" s="90">
        <v>7</v>
      </c>
      <c r="K53" s="89">
        <v>0</v>
      </c>
      <c r="L53" s="77">
        <v>0</v>
      </c>
      <c r="M53" s="77">
        <v>0</v>
      </c>
      <c r="N53" s="90">
        <v>0</v>
      </c>
      <c r="O53" s="89">
        <v>0</v>
      </c>
      <c r="P53" s="77">
        <v>0</v>
      </c>
      <c r="Q53" s="77">
        <v>0</v>
      </c>
      <c r="R53" s="90">
        <v>0</v>
      </c>
      <c r="S53" s="89">
        <v>0</v>
      </c>
      <c r="T53" s="77">
        <v>0</v>
      </c>
      <c r="U53" s="77">
        <v>0</v>
      </c>
      <c r="V53" s="90">
        <v>0</v>
      </c>
      <c r="W53" s="89">
        <v>0</v>
      </c>
      <c r="X53" s="77">
        <v>0</v>
      </c>
      <c r="Y53" s="77">
        <v>0</v>
      </c>
      <c r="Z53" s="90">
        <v>0</v>
      </c>
      <c r="AA53" s="89">
        <v>0</v>
      </c>
      <c r="AB53" s="77">
        <v>0</v>
      </c>
      <c r="AC53" s="77">
        <v>0</v>
      </c>
      <c r="AD53" s="90">
        <v>0</v>
      </c>
      <c r="AE53" s="89">
        <v>0</v>
      </c>
      <c r="AF53" s="77">
        <v>0</v>
      </c>
      <c r="AG53" s="77">
        <v>0</v>
      </c>
      <c r="AH53" s="90">
        <v>0</v>
      </c>
      <c r="AI53" s="89">
        <v>0</v>
      </c>
      <c r="AJ53" s="77">
        <v>0</v>
      </c>
      <c r="AK53" s="77">
        <v>0</v>
      </c>
      <c r="AL53" s="90">
        <v>0</v>
      </c>
      <c r="AM53" s="89">
        <v>0</v>
      </c>
      <c r="AN53" s="77">
        <v>0</v>
      </c>
      <c r="AO53" s="77">
        <v>0</v>
      </c>
      <c r="AP53" s="90">
        <v>0</v>
      </c>
    </row>
    <row r="54" spans="2:42" s="1" customFormat="1">
      <c r="B54" s="80" t="s">
        <v>130</v>
      </c>
      <c r="C54" s="141">
        <v>609344</v>
      </c>
      <c r="D54" s="114">
        <f>SUM(D48,D50:D53)</f>
        <v>375821</v>
      </c>
      <c r="E54" s="76">
        <f>SUM(E48,E50:E53)</f>
        <v>580597</v>
      </c>
      <c r="F54" s="76">
        <f>SUM(F48,F50:F53)</f>
        <v>580294</v>
      </c>
      <c r="G54" s="93">
        <f t="shared" ref="G54:AP54" si="47">SUM(G48,G50:G53)</f>
        <v>465416</v>
      </c>
      <c r="H54" s="76">
        <f t="shared" si="47"/>
        <v>470234</v>
      </c>
      <c r="I54" s="76">
        <f t="shared" si="47"/>
        <v>381838</v>
      </c>
      <c r="J54" s="94">
        <f t="shared" si="47"/>
        <v>555948</v>
      </c>
      <c r="K54" s="93">
        <f t="shared" si="47"/>
        <v>506710</v>
      </c>
      <c r="L54" s="76">
        <f t="shared" si="47"/>
        <v>280988</v>
      </c>
      <c r="M54" s="76">
        <f t="shared" si="47"/>
        <v>293134</v>
      </c>
      <c r="N54" s="94">
        <f t="shared" si="47"/>
        <v>537553</v>
      </c>
      <c r="O54" s="93">
        <f t="shared" si="47"/>
        <v>221924</v>
      </c>
      <c r="P54" s="76">
        <f t="shared" si="47"/>
        <v>393659</v>
      </c>
      <c r="Q54" s="76">
        <f t="shared" si="47"/>
        <v>396566</v>
      </c>
      <c r="R54" s="94">
        <f t="shared" si="47"/>
        <v>439805</v>
      </c>
      <c r="S54" s="93">
        <f t="shared" si="47"/>
        <v>183567</v>
      </c>
      <c r="T54" s="76">
        <f t="shared" si="47"/>
        <v>200029</v>
      </c>
      <c r="U54" s="76">
        <f t="shared" si="47"/>
        <v>55302</v>
      </c>
      <c r="V54" s="94">
        <f t="shared" si="47"/>
        <v>186697</v>
      </c>
      <c r="W54" s="93">
        <f t="shared" si="47"/>
        <v>139962</v>
      </c>
      <c r="X54" s="76">
        <f t="shared" si="47"/>
        <v>139630</v>
      </c>
      <c r="Y54" s="76">
        <f t="shared" si="47"/>
        <v>211494</v>
      </c>
      <c r="Z54" s="94">
        <f t="shared" si="47"/>
        <v>306664</v>
      </c>
      <c r="AA54" s="93">
        <f t="shared" si="47"/>
        <v>89571</v>
      </c>
      <c r="AB54" s="76">
        <f t="shared" si="47"/>
        <v>60952</v>
      </c>
      <c r="AC54" s="76">
        <f t="shared" si="47"/>
        <v>47891</v>
      </c>
      <c r="AD54" s="94">
        <f t="shared" si="47"/>
        <v>40890</v>
      </c>
      <c r="AE54" s="93">
        <f t="shared" si="47"/>
        <v>42786</v>
      </c>
      <c r="AF54" s="76">
        <f t="shared" si="47"/>
        <v>47578</v>
      </c>
      <c r="AG54" s="76">
        <f t="shared" si="47"/>
        <v>84200</v>
      </c>
      <c r="AH54" s="94">
        <f t="shared" si="47"/>
        <v>113737</v>
      </c>
      <c r="AI54" s="93">
        <f t="shared" si="47"/>
        <v>75460</v>
      </c>
      <c r="AJ54" s="76">
        <f t="shared" si="47"/>
        <v>73063</v>
      </c>
      <c r="AK54" s="76">
        <f t="shared" si="47"/>
        <v>66526</v>
      </c>
      <c r="AL54" s="94">
        <f t="shared" si="47"/>
        <v>58718</v>
      </c>
      <c r="AM54" s="93">
        <f t="shared" si="47"/>
        <v>93959</v>
      </c>
      <c r="AN54" s="76">
        <f t="shared" si="47"/>
        <v>42802</v>
      </c>
      <c r="AO54" s="76">
        <f t="shared" si="47"/>
        <v>31050</v>
      </c>
      <c r="AP54" s="94">
        <f t="shared" si="47"/>
        <v>82765</v>
      </c>
    </row>
    <row r="55" spans="2:42" s="1" customFormat="1" ht="7.5" customHeight="1"/>
    <row r="56" spans="2:42" s="1" customFormat="1">
      <c r="B56" s="22" t="s">
        <v>9</v>
      </c>
      <c r="C56" s="22"/>
      <c r="D56" s="22"/>
      <c r="E56" s="22"/>
    </row>
    <row r="57" spans="2:42" s="1" customFormat="1">
      <c r="B57" s="81" t="s">
        <v>136</v>
      </c>
      <c r="C57" s="81"/>
      <c r="D57" s="81"/>
      <c r="E57" s="81"/>
    </row>
    <row r="58" spans="2:42" s="1" customFormat="1">
      <c r="B58" s="81" t="s">
        <v>159</v>
      </c>
      <c r="C58" s="81"/>
      <c r="D58" s="81"/>
      <c r="E58" s="81"/>
    </row>
    <row r="59" spans="2:42" s="1" customFormat="1"/>
    <row r="60" spans="2:42" s="1" customFormat="1"/>
    <row r="61" spans="2:42" s="1" customFormat="1"/>
    <row r="62" spans="2:42" s="1" customFormat="1"/>
    <row r="63" spans="2:42" s="1" customFormat="1"/>
    <row r="64" spans="2:42"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sheetData>
  <mergeCells count="5">
    <mergeCell ref="B4:B5"/>
    <mergeCell ref="B1:AP2"/>
    <mergeCell ref="G4:AP4"/>
    <mergeCell ref="B46:B47"/>
    <mergeCell ref="G46:AP46"/>
  </mergeCells>
  <pageMargins left="0.70866141732283472" right="0.70866141732283472" top="0.74803149606299213" bottom="0.74803149606299213"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939A-BCEE-42EB-957B-903B9756D065}">
  <sheetPr>
    <pageSetUpPr fitToPage="1"/>
  </sheetPr>
  <dimension ref="A1:AGE5696"/>
  <sheetViews>
    <sheetView zoomScaleNormal="100" workbookViewId="0">
      <pane xSplit="2" ySplit="5" topLeftCell="C12" activePane="bottomRight" state="frozen"/>
      <selection pane="topRight" activeCell="C1" sqref="C1"/>
      <selection pane="bottomLeft" activeCell="A6" sqref="A6"/>
      <selection pane="bottomRight" activeCell="D7" sqref="D7"/>
    </sheetView>
  </sheetViews>
  <sheetFormatPr defaultColWidth="8.7265625" defaultRowHeight="14"/>
  <cols>
    <col min="1" max="1" width="1.453125" style="1" customWidth="1"/>
    <col min="2" max="2" width="59.54296875" style="5" customWidth="1"/>
    <col min="3" max="3" width="22.1796875" style="5" customWidth="1"/>
    <col min="4" max="20" width="12.453125" style="5" customWidth="1"/>
    <col min="21" max="42" width="12.453125" style="1" customWidth="1"/>
    <col min="43" max="863" width="9.1796875" style="1" customWidth="1"/>
    <col min="864" max="16384" width="8.7265625" style="5"/>
  </cols>
  <sheetData>
    <row r="1" spans="2:42" s="1" customFormat="1" ht="15" customHeight="1">
      <c r="B1" s="163" t="s">
        <v>151</v>
      </c>
      <c r="C1" s="163"/>
      <c r="D1" s="163"/>
      <c r="E1" s="163"/>
      <c r="F1" s="163"/>
      <c r="G1" s="163"/>
      <c r="H1" s="163"/>
      <c r="I1" s="163"/>
      <c r="J1" s="163"/>
      <c r="K1" s="163"/>
      <c r="L1" s="163"/>
      <c r="M1" s="163"/>
      <c r="N1" s="163"/>
      <c r="O1" s="163"/>
      <c r="P1" s="163"/>
      <c r="Q1" s="163"/>
      <c r="R1" s="163"/>
      <c r="S1" s="163"/>
      <c r="T1" s="163"/>
    </row>
    <row r="2" spans="2:42" s="1" customFormat="1" ht="15" customHeight="1">
      <c r="B2" s="163"/>
      <c r="C2" s="163"/>
      <c r="D2" s="163"/>
      <c r="E2" s="163"/>
      <c r="F2" s="163"/>
      <c r="G2" s="163"/>
      <c r="H2" s="163"/>
      <c r="I2" s="163"/>
      <c r="J2" s="163"/>
      <c r="K2" s="163"/>
      <c r="L2" s="163"/>
      <c r="M2" s="163"/>
      <c r="N2" s="163"/>
      <c r="O2" s="163"/>
      <c r="P2" s="163"/>
      <c r="Q2" s="163"/>
      <c r="R2" s="163"/>
      <c r="S2" s="163"/>
      <c r="T2" s="163"/>
    </row>
    <row r="3" spans="2:42" s="1" customFormat="1"/>
    <row r="4" spans="2:42">
      <c r="B4" s="164" t="s">
        <v>58</v>
      </c>
      <c r="C4" s="96"/>
      <c r="D4" s="95"/>
      <c r="E4" s="3"/>
      <c r="F4" s="3"/>
      <c r="G4" s="66"/>
      <c r="H4" s="3"/>
      <c r="I4" s="3"/>
      <c r="J4" s="65"/>
      <c r="K4" s="66"/>
      <c r="L4" s="3"/>
      <c r="M4" s="3"/>
      <c r="N4" s="65"/>
      <c r="O4" s="66"/>
      <c r="P4" s="3"/>
      <c r="Q4" s="3"/>
      <c r="R4" s="65"/>
      <c r="S4" s="66"/>
      <c r="T4" s="3"/>
      <c r="U4" s="3"/>
      <c r="V4" s="65"/>
      <c r="W4" s="66"/>
      <c r="X4" s="3"/>
      <c r="Y4" s="3"/>
      <c r="Z4" s="65"/>
      <c r="AA4" s="66"/>
      <c r="AB4" s="3"/>
      <c r="AC4" s="3"/>
      <c r="AD4" s="65"/>
      <c r="AE4" s="66"/>
      <c r="AF4" s="3"/>
      <c r="AG4" s="3"/>
      <c r="AH4" s="65"/>
      <c r="AI4" s="66"/>
      <c r="AJ4" s="3"/>
      <c r="AK4" s="3"/>
      <c r="AL4" s="65"/>
      <c r="AM4" s="66"/>
      <c r="AN4" s="3"/>
      <c r="AO4" s="3"/>
      <c r="AP4" s="65"/>
    </row>
    <row r="5" spans="2:42" s="1" customFormat="1" ht="18.75" customHeight="1">
      <c r="B5" s="165"/>
      <c r="C5" s="144">
        <v>46022</v>
      </c>
      <c r="D5" s="59">
        <v>45930</v>
      </c>
      <c r="E5" s="59">
        <v>45838</v>
      </c>
      <c r="F5" s="59">
        <v>45747</v>
      </c>
      <c r="G5" s="68">
        <v>45657</v>
      </c>
      <c r="H5" s="59">
        <v>45565</v>
      </c>
      <c r="I5" s="59">
        <v>45473</v>
      </c>
      <c r="J5" s="67">
        <v>45382</v>
      </c>
      <c r="K5" s="68">
        <v>45291</v>
      </c>
      <c r="L5" s="59">
        <v>45199</v>
      </c>
      <c r="M5" s="59">
        <v>45107</v>
      </c>
      <c r="N5" s="67">
        <v>45016</v>
      </c>
      <c r="O5" s="68">
        <v>44926</v>
      </c>
      <c r="P5" s="59">
        <v>44834</v>
      </c>
      <c r="Q5" s="59">
        <v>44742</v>
      </c>
      <c r="R5" s="67">
        <v>44651</v>
      </c>
      <c r="S5" s="68">
        <v>44561</v>
      </c>
      <c r="T5" s="59">
        <v>44469</v>
      </c>
      <c r="U5" s="59">
        <v>44377</v>
      </c>
      <c r="V5" s="67">
        <v>44286</v>
      </c>
      <c r="W5" s="68">
        <v>44196</v>
      </c>
      <c r="X5" s="59">
        <v>44104</v>
      </c>
      <c r="Y5" s="59">
        <v>44012</v>
      </c>
      <c r="Z5" s="67">
        <v>43921</v>
      </c>
      <c r="AA5" s="68">
        <v>43830</v>
      </c>
      <c r="AB5" s="59">
        <v>43738</v>
      </c>
      <c r="AC5" s="59">
        <v>43646</v>
      </c>
      <c r="AD5" s="67">
        <v>43555</v>
      </c>
      <c r="AE5" s="68">
        <v>43465</v>
      </c>
      <c r="AF5" s="59">
        <v>43373</v>
      </c>
      <c r="AG5" s="59">
        <v>43281</v>
      </c>
      <c r="AH5" s="67">
        <v>43190</v>
      </c>
      <c r="AI5" s="68">
        <v>43100</v>
      </c>
      <c r="AJ5" s="59">
        <v>43008</v>
      </c>
      <c r="AK5" s="59">
        <v>42916</v>
      </c>
      <c r="AL5" s="67">
        <v>42825</v>
      </c>
      <c r="AM5" s="68" t="s">
        <v>8</v>
      </c>
      <c r="AN5" s="59">
        <v>42643</v>
      </c>
      <c r="AO5" s="59">
        <v>42551</v>
      </c>
      <c r="AP5" s="67">
        <v>42460</v>
      </c>
    </row>
    <row r="6" spans="2:42" s="1" customFormat="1">
      <c r="B6" s="60" t="s">
        <v>30</v>
      </c>
      <c r="C6" s="99"/>
      <c r="E6" s="27"/>
      <c r="F6" s="27"/>
      <c r="G6" s="31"/>
      <c r="H6" s="11"/>
      <c r="I6" s="11"/>
      <c r="J6" s="30"/>
      <c r="K6" s="31"/>
      <c r="L6" s="11"/>
      <c r="M6" s="11"/>
      <c r="N6" s="30"/>
      <c r="O6" s="31"/>
      <c r="P6" s="11"/>
      <c r="Q6" s="11"/>
      <c r="R6" s="30"/>
      <c r="S6" s="31"/>
      <c r="T6" s="11"/>
      <c r="U6" s="11"/>
      <c r="V6" s="30"/>
      <c r="W6" s="31"/>
      <c r="X6" s="11"/>
      <c r="Y6" s="11"/>
      <c r="Z6" s="30"/>
      <c r="AA6" s="31"/>
      <c r="AB6" s="11"/>
      <c r="AC6" s="11"/>
      <c r="AD6" s="30"/>
      <c r="AE6" s="31"/>
      <c r="AF6" s="11"/>
      <c r="AG6" s="11"/>
      <c r="AH6" s="30"/>
      <c r="AI6" s="31"/>
      <c r="AJ6" s="11"/>
      <c r="AK6" s="11"/>
      <c r="AL6" s="30"/>
      <c r="AM6" s="31"/>
      <c r="AN6" s="11"/>
      <c r="AO6" s="11"/>
      <c r="AP6" s="30"/>
    </row>
    <row r="7" spans="2:42" s="1" customFormat="1" ht="7.5" customHeight="1">
      <c r="B7" s="60"/>
      <c r="C7" s="99"/>
      <c r="E7" s="11"/>
      <c r="F7" s="11"/>
      <c r="G7" s="31"/>
      <c r="H7" s="11"/>
      <c r="I7" s="11"/>
      <c r="J7" s="30"/>
      <c r="K7" s="31"/>
      <c r="L7" s="11"/>
      <c r="M7" s="11"/>
      <c r="N7" s="30"/>
      <c r="O7" s="31"/>
      <c r="P7" s="11"/>
      <c r="Q7" s="11"/>
      <c r="R7" s="30"/>
      <c r="S7" s="31"/>
      <c r="T7" s="11"/>
      <c r="U7" s="11"/>
      <c r="V7" s="30"/>
      <c r="W7" s="31"/>
      <c r="X7" s="11"/>
      <c r="Y7" s="11"/>
      <c r="Z7" s="30"/>
      <c r="AA7" s="31"/>
      <c r="AB7" s="11"/>
      <c r="AC7" s="11"/>
      <c r="AD7" s="30"/>
      <c r="AE7" s="31"/>
      <c r="AF7" s="11"/>
      <c r="AG7" s="11"/>
      <c r="AH7" s="30"/>
      <c r="AI7" s="31"/>
      <c r="AJ7" s="11"/>
      <c r="AK7" s="11"/>
      <c r="AL7" s="30"/>
      <c r="AM7" s="31"/>
      <c r="AN7" s="11"/>
      <c r="AO7" s="11"/>
      <c r="AP7" s="30"/>
    </row>
    <row r="8" spans="2:42" s="1" customFormat="1">
      <c r="B8" s="9" t="s">
        <v>28</v>
      </c>
      <c r="C8" s="146">
        <v>1994026.7400000002</v>
      </c>
      <c r="D8" s="173">
        <v>1785771</v>
      </c>
      <c r="E8" s="77">
        <v>1637492</v>
      </c>
      <c r="F8" s="11">
        <v>1769698</v>
      </c>
      <c r="G8" s="31">
        <v>1619512</v>
      </c>
      <c r="H8" s="11">
        <v>1250034</v>
      </c>
      <c r="I8" s="11">
        <v>1249587</v>
      </c>
      <c r="J8" s="30">
        <v>1332284</v>
      </c>
      <c r="K8" s="31">
        <v>1409897</v>
      </c>
      <c r="L8" s="11">
        <v>1236445</v>
      </c>
      <c r="M8" s="11">
        <v>1651053</v>
      </c>
      <c r="N8" s="30">
        <v>1535170</v>
      </c>
      <c r="O8" s="31">
        <v>1222499</v>
      </c>
      <c r="P8" s="11">
        <v>1259691</v>
      </c>
      <c r="Q8" s="11">
        <v>995777</v>
      </c>
      <c r="R8" s="30">
        <v>937314</v>
      </c>
      <c r="S8" s="31">
        <v>589392</v>
      </c>
      <c r="T8" s="11">
        <v>754553</v>
      </c>
      <c r="U8" s="11">
        <v>621809</v>
      </c>
      <c r="V8" s="30">
        <v>642831</v>
      </c>
      <c r="W8" s="31">
        <v>542205</v>
      </c>
      <c r="X8" s="11">
        <v>680024</v>
      </c>
      <c r="Y8" s="11">
        <v>681342</v>
      </c>
      <c r="Z8" s="30">
        <v>731175</v>
      </c>
      <c r="AA8" s="31">
        <v>484351</v>
      </c>
      <c r="AB8" s="11">
        <v>436800</v>
      </c>
      <c r="AC8" s="11">
        <v>433861</v>
      </c>
      <c r="AD8" s="30">
        <v>457590</v>
      </c>
      <c r="AE8" s="31">
        <v>467987</v>
      </c>
      <c r="AF8" s="11">
        <v>504660</v>
      </c>
      <c r="AG8" s="11">
        <v>499189</v>
      </c>
      <c r="AH8" s="30">
        <v>452041</v>
      </c>
      <c r="AI8" s="31">
        <v>367096</v>
      </c>
      <c r="AJ8" s="11">
        <v>262402</v>
      </c>
      <c r="AK8" s="11">
        <v>251987</v>
      </c>
      <c r="AL8" s="30">
        <v>286000</v>
      </c>
      <c r="AM8" s="31">
        <v>290739</v>
      </c>
      <c r="AN8" s="11">
        <v>239817</v>
      </c>
      <c r="AO8" s="11">
        <v>246426</v>
      </c>
      <c r="AP8" s="30">
        <v>290116</v>
      </c>
    </row>
    <row r="9" spans="2:42" s="1" customFormat="1">
      <c r="B9" s="9" t="s">
        <v>29</v>
      </c>
      <c r="C9" s="146">
        <v>5864393.2599999998</v>
      </c>
      <c r="D9" s="173">
        <v>5352306</v>
      </c>
      <c r="E9" s="77">
        <v>4584514</v>
      </c>
      <c r="F9" s="11">
        <v>4182768</v>
      </c>
      <c r="G9" s="31">
        <v>3751303</v>
      </c>
      <c r="H9" s="11">
        <v>3170770</v>
      </c>
      <c r="I9" s="11">
        <v>2769002</v>
      </c>
      <c r="J9" s="30">
        <v>2441023</v>
      </c>
      <c r="K9" s="31">
        <v>2266859</v>
      </c>
      <c r="L9" s="11">
        <v>2077824</v>
      </c>
      <c r="M9" s="11">
        <v>1961190</v>
      </c>
      <c r="N9" s="30">
        <v>1927341</v>
      </c>
      <c r="O9" s="31">
        <v>1938503</v>
      </c>
      <c r="P9" s="11">
        <v>1861750</v>
      </c>
      <c r="Q9" s="11">
        <v>1724274</v>
      </c>
      <c r="R9" s="30">
        <v>1888488</v>
      </c>
      <c r="S9" s="31">
        <v>1786869</v>
      </c>
      <c r="T9" s="11">
        <v>1601152</v>
      </c>
      <c r="U9" s="11">
        <v>1491530</v>
      </c>
      <c r="V9" s="30">
        <v>1345261</v>
      </c>
      <c r="W9" s="31">
        <v>1033602</v>
      </c>
      <c r="X9" s="11">
        <v>804052</v>
      </c>
      <c r="Y9" s="11">
        <v>746474</v>
      </c>
      <c r="Z9" s="30">
        <v>539388</v>
      </c>
      <c r="AA9" s="31">
        <v>470845</v>
      </c>
      <c r="AB9" s="11">
        <v>481203</v>
      </c>
      <c r="AC9" s="11">
        <v>443576</v>
      </c>
      <c r="AD9" s="30">
        <v>416699</v>
      </c>
      <c r="AE9" s="31">
        <v>363908</v>
      </c>
      <c r="AF9" s="11">
        <v>340127</v>
      </c>
      <c r="AG9" s="11">
        <v>336753</v>
      </c>
      <c r="AH9" s="30">
        <v>326372</v>
      </c>
      <c r="AI9" s="31">
        <v>378471</v>
      </c>
      <c r="AJ9" s="11">
        <v>462868</v>
      </c>
      <c r="AK9" s="11">
        <v>442963</v>
      </c>
      <c r="AL9" s="30">
        <v>406048</v>
      </c>
      <c r="AM9" s="31">
        <v>375642</v>
      </c>
      <c r="AN9" s="11">
        <v>335445</v>
      </c>
      <c r="AO9" s="11">
        <v>316961</v>
      </c>
      <c r="AP9" s="30">
        <v>315566</v>
      </c>
    </row>
    <row r="10" spans="2:42" s="1" customFormat="1">
      <c r="B10" s="9" t="s">
        <v>60</v>
      </c>
      <c r="C10" s="146">
        <v>1006973</v>
      </c>
      <c r="D10" s="173">
        <v>985973</v>
      </c>
      <c r="E10" s="77">
        <v>896185</v>
      </c>
      <c r="F10" s="11">
        <v>1331119</v>
      </c>
      <c r="G10" s="31">
        <v>1123923</v>
      </c>
      <c r="H10" s="11">
        <v>1172379</v>
      </c>
      <c r="I10" s="11">
        <v>1048716</v>
      </c>
      <c r="J10" s="30">
        <v>1477799</v>
      </c>
      <c r="K10" s="31">
        <v>903255</v>
      </c>
      <c r="L10" s="11">
        <v>977297</v>
      </c>
      <c r="M10" s="11">
        <v>931409</v>
      </c>
      <c r="N10" s="30">
        <v>923062</v>
      </c>
      <c r="O10" s="31">
        <v>842509</v>
      </c>
      <c r="P10" s="11">
        <v>957700</v>
      </c>
      <c r="Q10" s="11">
        <v>878228</v>
      </c>
      <c r="R10" s="30">
        <v>714767</v>
      </c>
      <c r="S10" s="31">
        <v>703546</v>
      </c>
      <c r="T10" s="11">
        <v>570021</v>
      </c>
      <c r="U10" s="11">
        <v>551405</v>
      </c>
      <c r="V10" s="30">
        <v>778812</v>
      </c>
      <c r="W10" s="31">
        <v>663133</v>
      </c>
      <c r="X10" s="11">
        <v>416363</v>
      </c>
      <c r="Y10" s="11">
        <v>312078</v>
      </c>
      <c r="Z10" s="30">
        <v>194507</v>
      </c>
      <c r="AA10" s="31">
        <v>149318</v>
      </c>
      <c r="AB10" s="11">
        <v>148919</v>
      </c>
      <c r="AC10" s="11">
        <v>109146</v>
      </c>
      <c r="AD10" s="30">
        <v>107881</v>
      </c>
      <c r="AE10" s="31">
        <v>114279</v>
      </c>
      <c r="AF10" s="11">
        <v>101519</v>
      </c>
      <c r="AG10" s="11">
        <v>116562</v>
      </c>
      <c r="AH10" s="30" t="s">
        <v>111</v>
      </c>
      <c r="AI10" s="31" t="s">
        <v>111</v>
      </c>
      <c r="AJ10" s="11" t="s">
        <v>111</v>
      </c>
      <c r="AK10" s="11" t="s">
        <v>111</v>
      </c>
      <c r="AL10" s="30" t="s">
        <v>111</v>
      </c>
      <c r="AM10" s="31" t="s">
        <v>111</v>
      </c>
      <c r="AN10" s="11" t="s">
        <v>111</v>
      </c>
      <c r="AO10" s="11" t="s">
        <v>111</v>
      </c>
      <c r="AP10" s="30" t="s">
        <v>111</v>
      </c>
    </row>
    <row r="11" spans="2:42" s="1" customFormat="1">
      <c r="B11" s="9" t="s">
        <v>40</v>
      </c>
      <c r="C11" s="145" t="s">
        <v>153</v>
      </c>
      <c r="D11" s="157" t="s">
        <v>153</v>
      </c>
      <c r="E11" s="11" t="s">
        <v>111</v>
      </c>
      <c r="F11" s="11" t="s">
        <v>111</v>
      </c>
      <c r="G11" s="31" t="s">
        <v>111</v>
      </c>
      <c r="H11" s="11" t="s">
        <v>111</v>
      </c>
      <c r="I11" s="11" t="s">
        <v>111</v>
      </c>
      <c r="J11" s="11" t="s">
        <v>111</v>
      </c>
      <c r="K11" s="31" t="s">
        <v>111</v>
      </c>
      <c r="L11" s="11" t="s">
        <v>111</v>
      </c>
      <c r="M11" s="11" t="s">
        <v>111</v>
      </c>
      <c r="N11" s="11" t="s">
        <v>111</v>
      </c>
      <c r="O11" s="31" t="s">
        <v>111</v>
      </c>
      <c r="P11" s="11" t="s">
        <v>111</v>
      </c>
      <c r="Q11" s="11" t="s">
        <v>111</v>
      </c>
      <c r="R11" s="11" t="s">
        <v>111</v>
      </c>
      <c r="S11" s="31" t="s">
        <v>111</v>
      </c>
      <c r="T11" s="11" t="s">
        <v>111</v>
      </c>
      <c r="U11" s="11" t="s">
        <v>111</v>
      </c>
      <c r="V11" s="11" t="s">
        <v>111</v>
      </c>
      <c r="W11" s="31" t="s">
        <v>111</v>
      </c>
      <c r="X11" s="11" t="s">
        <v>111</v>
      </c>
      <c r="Y11" s="11" t="s">
        <v>111</v>
      </c>
      <c r="Z11" s="11" t="s">
        <v>111</v>
      </c>
      <c r="AA11" s="31" t="s">
        <v>111</v>
      </c>
      <c r="AB11" s="11" t="s">
        <v>111</v>
      </c>
      <c r="AC11" s="11" t="s">
        <v>111</v>
      </c>
      <c r="AD11" s="11" t="s">
        <v>111</v>
      </c>
      <c r="AE11" s="31" t="s">
        <v>111</v>
      </c>
      <c r="AF11" s="11" t="s">
        <v>111</v>
      </c>
      <c r="AG11" s="11" t="s">
        <v>111</v>
      </c>
      <c r="AH11" s="30">
        <v>114505</v>
      </c>
      <c r="AI11" s="31">
        <v>127944</v>
      </c>
      <c r="AJ11" s="11">
        <v>148397</v>
      </c>
      <c r="AK11" s="11">
        <v>134950</v>
      </c>
      <c r="AL11" s="30">
        <v>114667</v>
      </c>
      <c r="AM11" s="31">
        <v>94903</v>
      </c>
      <c r="AN11" s="11">
        <v>69620</v>
      </c>
      <c r="AO11" s="11">
        <v>60297</v>
      </c>
      <c r="AP11" s="30">
        <v>63772</v>
      </c>
    </row>
    <row r="12" spans="2:42" s="1" customFormat="1">
      <c r="B12" s="9" t="s">
        <v>31</v>
      </c>
      <c r="C12" s="145" t="s">
        <v>153</v>
      </c>
      <c r="D12" s="157" t="s">
        <v>153</v>
      </c>
      <c r="E12" s="11" t="s">
        <v>111</v>
      </c>
      <c r="F12" s="11" t="s">
        <v>111</v>
      </c>
      <c r="G12" s="31" t="s">
        <v>111</v>
      </c>
      <c r="H12" s="11" t="s">
        <v>111</v>
      </c>
      <c r="I12" s="11" t="s">
        <v>111</v>
      </c>
      <c r="J12" s="11" t="s">
        <v>111</v>
      </c>
      <c r="K12" s="31" t="s">
        <v>111</v>
      </c>
      <c r="L12" s="11" t="s">
        <v>111</v>
      </c>
      <c r="M12" s="11" t="s">
        <v>111</v>
      </c>
      <c r="N12" s="11" t="s">
        <v>111</v>
      </c>
      <c r="O12" s="31" t="s">
        <v>111</v>
      </c>
      <c r="P12" s="11" t="s">
        <v>111</v>
      </c>
      <c r="Q12" s="11" t="s">
        <v>111</v>
      </c>
      <c r="R12" s="11" t="s">
        <v>111</v>
      </c>
      <c r="S12" s="31" t="s">
        <v>111</v>
      </c>
      <c r="T12" s="11" t="s">
        <v>111</v>
      </c>
      <c r="U12" s="11" t="s">
        <v>111</v>
      </c>
      <c r="V12" s="30" t="s">
        <v>111</v>
      </c>
      <c r="W12" s="31" t="s">
        <v>111</v>
      </c>
      <c r="X12" s="11" t="s">
        <v>111</v>
      </c>
      <c r="Y12" s="11" t="s">
        <v>111</v>
      </c>
      <c r="Z12" s="11" t="s">
        <v>111</v>
      </c>
      <c r="AA12" s="31" t="s">
        <v>111</v>
      </c>
      <c r="AB12" s="11" t="s">
        <v>111</v>
      </c>
      <c r="AC12" s="11" t="s">
        <v>111</v>
      </c>
      <c r="AD12" s="11" t="s">
        <v>111</v>
      </c>
      <c r="AE12" s="31" t="s">
        <v>111</v>
      </c>
      <c r="AF12" s="11" t="s">
        <v>111</v>
      </c>
      <c r="AG12" s="11" t="s">
        <v>111</v>
      </c>
      <c r="AH12" s="30">
        <v>138</v>
      </c>
      <c r="AI12" s="31">
        <v>147</v>
      </c>
      <c r="AJ12" s="11">
        <v>164</v>
      </c>
      <c r="AK12" s="11">
        <v>168</v>
      </c>
      <c r="AL12" s="30">
        <v>173</v>
      </c>
      <c r="AM12" s="31">
        <v>190</v>
      </c>
      <c r="AN12" s="11">
        <v>205</v>
      </c>
      <c r="AO12" s="11">
        <v>220</v>
      </c>
      <c r="AP12" s="30">
        <v>212</v>
      </c>
    </row>
    <row r="13" spans="2:42" s="1" customFormat="1">
      <c r="B13" s="9" t="s">
        <v>32</v>
      </c>
      <c r="C13" s="146">
        <v>14112</v>
      </c>
      <c r="D13" s="173">
        <v>21411</v>
      </c>
      <c r="E13" s="77">
        <v>20102</v>
      </c>
      <c r="F13" s="11">
        <v>3241</v>
      </c>
      <c r="G13" s="31">
        <v>131</v>
      </c>
      <c r="H13" s="11">
        <v>7029</v>
      </c>
      <c r="I13" s="11">
        <v>3</v>
      </c>
      <c r="J13" s="30">
        <v>0</v>
      </c>
      <c r="K13" s="31">
        <v>129</v>
      </c>
      <c r="L13" s="11">
        <v>112</v>
      </c>
      <c r="M13" s="11">
        <v>1052</v>
      </c>
      <c r="N13" s="30">
        <v>9103</v>
      </c>
      <c r="O13" s="31">
        <v>0</v>
      </c>
      <c r="P13" s="11">
        <v>3</v>
      </c>
      <c r="Q13" s="11">
        <v>1180</v>
      </c>
      <c r="R13" s="30">
        <v>106</v>
      </c>
      <c r="S13" s="31">
        <v>7247</v>
      </c>
      <c r="T13" s="11">
        <v>30</v>
      </c>
      <c r="U13" s="11">
        <v>10472</v>
      </c>
      <c r="V13" s="30">
        <v>201</v>
      </c>
      <c r="W13" s="31">
        <v>2593</v>
      </c>
      <c r="X13" s="11">
        <v>2604</v>
      </c>
      <c r="Y13" s="11">
        <v>283</v>
      </c>
      <c r="Z13" s="30">
        <v>46</v>
      </c>
      <c r="AA13" s="31">
        <v>71</v>
      </c>
      <c r="AB13" s="11">
        <v>2550</v>
      </c>
      <c r="AC13" s="11">
        <v>5419</v>
      </c>
      <c r="AD13" s="30">
        <v>2924</v>
      </c>
      <c r="AE13" s="31">
        <v>3068</v>
      </c>
      <c r="AF13" s="11">
        <v>1467</v>
      </c>
      <c r="AG13" s="11">
        <v>285</v>
      </c>
      <c r="AH13" s="30">
        <v>318</v>
      </c>
      <c r="AI13" s="31">
        <v>375</v>
      </c>
      <c r="AJ13" s="11">
        <v>670</v>
      </c>
      <c r="AK13" s="11">
        <v>1538</v>
      </c>
      <c r="AL13" s="30">
        <v>3548</v>
      </c>
      <c r="AM13" s="31">
        <v>1016</v>
      </c>
      <c r="AN13" s="11">
        <v>9639</v>
      </c>
      <c r="AO13" s="11">
        <v>8469</v>
      </c>
      <c r="AP13" s="30">
        <v>5724</v>
      </c>
    </row>
    <row r="14" spans="2:42" s="1" customFormat="1">
      <c r="B14" s="9" t="s">
        <v>65</v>
      </c>
      <c r="C14" s="146">
        <v>107761</v>
      </c>
      <c r="D14" s="173">
        <v>83357</v>
      </c>
      <c r="E14" s="77">
        <v>80391</v>
      </c>
      <c r="F14" s="11">
        <v>78586</v>
      </c>
      <c r="G14" s="31">
        <v>55026</v>
      </c>
      <c r="H14" s="11">
        <v>57357</v>
      </c>
      <c r="I14" s="11">
        <v>46366</v>
      </c>
      <c r="J14" s="30">
        <v>44519</v>
      </c>
      <c r="K14" s="31">
        <v>31407</v>
      </c>
      <c r="L14" s="11">
        <v>38210</v>
      </c>
      <c r="M14" s="11">
        <v>42753</v>
      </c>
      <c r="N14" s="30">
        <v>44975</v>
      </c>
      <c r="O14" s="31">
        <v>41675</v>
      </c>
      <c r="P14" s="11">
        <v>37205</v>
      </c>
      <c r="Q14" s="11">
        <v>22939</v>
      </c>
      <c r="R14" s="30">
        <v>33048</v>
      </c>
      <c r="S14" s="31">
        <v>26568</v>
      </c>
      <c r="T14" s="11">
        <v>21303</v>
      </c>
      <c r="U14" s="11">
        <v>14312</v>
      </c>
      <c r="V14" s="30">
        <v>16856</v>
      </c>
      <c r="W14" s="31">
        <v>13310</v>
      </c>
      <c r="X14" s="11">
        <v>10061</v>
      </c>
      <c r="Y14" s="11">
        <v>8496</v>
      </c>
      <c r="Z14" s="30">
        <v>12617</v>
      </c>
      <c r="AA14" s="31">
        <v>6474</v>
      </c>
      <c r="AB14" s="11">
        <v>6906</v>
      </c>
      <c r="AC14" s="11">
        <v>7047</v>
      </c>
      <c r="AD14" s="30">
        <v>5173</v>
      </c>
      <c r="AE14" s="31">
        <v>5005</v>
      </c>
      <c r="AF14" s="11">
        <v>5356</v>
      </c>
      <c r="AG14" s="11">
        <v>6619</v>
      </c>
      <c r="AH14" s="30">
        <v>5829</v>
      </c>
      <c r="AI14" s="31">
        <v>4009</v>
      </c>
      <c r="AJ14" s="11">
        <v>5041</v>
      </c>
      <c r="AK14" s="11">
        <v>6525</v>
      </c>
      <c r="AL14" s="30">
        <v>9302</v>
      </c>
      <c r="AM14" s="31">
        <v>5244</v>
      </c>
      <c r="AN14" s="11">
        <v>7753</v>
      </c>
      <c r="AO14" s="11">
        <v>6501</v>
      </c>
      <c r="AP14" s="30">
        <v>5064</v>
      </c>
    </row>
    <row r="15" spans="2:42" s="1" customFormat="1">
      <c r="B15" s="9" t="s">
        <v>33</v>
      </c>
      <c r="C15" s="146">
        <v>29037</v>
      </c>
      <c r="D15" s="173">
        <v>24056</v>
      </c>
      <c r="E15" s="77">
        <v>22151</v>
      </c>
      <c r="F15" s="11">
        <v>25642</v>
      </c>
      <c r="G15" s="31">
        <v>19686</v>
      </c>
      <c r="H15" s="11">
        <v>15378</v>
      </c>
      <c r="I15" s="11">
        <v>17487</v>
      </c>
      <c r="J15" s="30">
        <v>15967</v>
      </c>
      <c r="K15" s="31">
        <v>15486</v>
      </c>
      <c r="L15" s="11">
        <v>13686</v>
      </c>
      <c r="M15" s="11">
        <v>16353</v>
      </c>
      <c r="N15" s="30">
        <v>16145</v>
      </c>
      <c r="O15" s="31">
        <v>14524</v>
      </c>
      <c r="P15" s="11">
        <v>14416</v>
      </c>
      <c r="Q15" s="11">
        <v>10956</v>
      </c>
      <c r="R15" s="30">
        <v>10155</v>
      </c>
      <c r="S15" s="31">
        <v>8637</v>
      </c>
      <c r="T15" s="11">
        <v>9469</v>
      </c>
      <c r="U15" s="11">
        <v>6960</v>
      </c>
      <c r="V15" s="30">
        <v>6741</v>
      </c>
      <c r="W15" s="31">
        <v>5397</v>
      </c>
      <c r="X15" s="11">
        <v>7128</v>
      </c>
      <c r="Y15" s="11">
        <v>5378</v>
      </c>
      <c r="Z15" s="30">
        <v>5453</v>
      </c>
      <c r="AA15" s="31">
        <v>4073</v>
      </c>
      <c r="AB15" s="11">
        <v>5829</v>
      </c>
      <c r="AC15" s="11">
        <v>4215</v>
      </c>
      <c r="AD15" s="30">
        <v>5072</v>
      </c>
      <c r="AE15" s="31">
        <v>3049</v>
      </c>
      <c r="AF15" s="11">
        <v>4687</v>
      </c>
      <c r="AG15" s="11">
        <v>5085</v>
      </c>
      <c r="AH15" s="30">
        <v>5613</v>
      </c>
      <c r="AI15" s="31">
        <v>3216</v>
      </c>
      <c r="AJ15" s="11">
        <v>4330</v>
      </c>
      <c r="AK15" s="11">
        <v>5505</v>
      </c>
      <c r="AL15" s="30">
        <v>4361</v>
      </c>
      <c r="AM15" s="31">
        <v>3590</v>
      </c>
      <c r="AN15" s="11">
        <v>5119</v>
      </c>
      <c r="AO15" s="11">
        <v>4723</v>
      </c>
      <c r="AP15" s="30">
        <v>8547</v>
      </c>
    </row>
    <row r="16" spans="2:42" s="1" customFormat="1">
      <c r="B16" s="9" t="s">
        <v>34</v>
      </c>
      <c r="C16" s="146">
        <v>1398</v>
      </c>
      <c r="D16" s="173">
        <v>1633</v>
      </c>
      <c r="E16" s="77">
        <v>1756</v>
      </c>
      <c r="F16" s="11">
        <v>1882</v>
      </c>
      <c r="G16" s="31">
        <v>2009</v>
      </c>
      <c r="H16" s="11">
        <v>1887</v>
      </c>
      <c r="I16" s="11">
        <v>1982</v>
      </c>
      <c r="J16" s="30">
        <v>2100</v>
      </c>
      <c r="K16" s="31">
        <v>1167</v>
      </c>
      <c r="L16" s="11">
        <v>1263</v>
      </c>
      <c r="M16" s="11">
        <v>1345</v>
      </c>
      <c r="N16" s="30">
        <v>1441</v>
      </c>
      <c r="O16" s="31">
        <v>1441</v>
      </c>
      <c r="P16" s="11">
        <v>1111</v>
      </c>
      <c r="Q16" s="11">
        <v>1189</v>
      </c>
      <c r="R16" s="30">
        <v>523</v>
      </c>
      <c r="S16" s="31">
        <v>585</v>
      </c>
      <c r="T16" s="11">
        <v>638</v>
      </c>
      <c r="U16" s="11">
        <v>704</v>
      </c>
      <c r="V16" s="30">
        <v>771</v>
      </c>
      <c r="W16" s="31">
        <v>639</v>
      </c>
      <c r="X16" s="11">
        <v>685</v>
      </c>
      <c r="Y16" s="11">
        <v>640</v>
      </c>
      <c r="Z16" s="30">
        <v>623</v>
      </c>
      <c r="AA16" s="31">
        <v>572</v>
      </c>
      <c r="AB16" s="11">
        <v>571</v>
      </c>
      <c r="AC16" s="11">
        <v>624</v>
      </c>
      <c r="AD16" s="30">
        <v>679</v>
      </c>
      <c r="AE16" s="31">
        <v>716</v>
      </c>
      <c r="AF16" s="11">
        <v>1042</v>
      </c>
      <c r="AG16" s="11">
        <v>1344</v>
      </c>
      <c r="AH16" s="30">
        <v>1775</v>
      </c>
      <c r="AI16" s="31">
        <v>2915</v>
      </c>
      <c r="AJ16" s="11">
        <v>4040</v>
      </c>
      <c r="AK16" s="11">
        <v>5187</v>
      </c>
      <c r="AL16" s="30">
        <v>9901</v>
      </c>
      <c r="AM16" s="31">
        <v>10060</v>
      </c>
      <c r="AN16" s="11">
        <v>10860</v>
      </c>
      <c r="AO16" s="11">
        <v>11724</v>
      </c>
      <c r="AP16" s="30">
        <v>12581</v>
      </c>
    </row>
    <row r="17" spans="2:42" s="1" customFormat="1">
      <c r="B17" s="9" t="s">
        <v>35</v>
      </c>
      <c r="C17" s="146">
        <v>63407</v>
      </c>
      <c r="D17" s="173">
        <v>66324</v>
      </c>
      <c r="E17" s="77">
        <v>66570</v>
      </c>
      <c r="F17" s="11">
        <v>63012</v>
      </c>
      <c r="G17" s="31">
        <v>65334</v>
      </c>
      <c r="H17" s="11">
        <v>55912</v>
      </c>
      <c r="I17" s="11">
        <v>56964</v>
      </c>
      <c r="J17" s="30">
        <v>51898</v>
      </c>
      <c r="K17" s="31">
        <v>50386</v>
      </c>
      <c r="L17" s="11">
        <v>51310</v>
      </c>
      <c r="M17" s="11">
        <v>50709</v>
      </c>
      <c r="N17" s="30">
        <v>49568</v>
      </c>
      <c r="O17" s="31">
        <v>45303</v>
      </c>
      <c r="P17" s="11">
        <v>36336</v>
      </c>
      <c r="Q17" s="11">
        <v>35558</v>
      </c>
      <c r="R17" s="30">
        <v>34166</v>
      </c>
      <c r="S17" s="31">
        <v>16206</v>
      </c>
      <c r="T17" s="11">
        <v>13121</v>
      </c>
      <c r="U17" s="11">
        <v>14510</v>
      </c>
      <c r="V17" s="30">
        <v>12544</v>
      </c>
      <c r="W17" s="31">
        <v>13260</v>
      </c>
      <c r="X17" s="11">
        <v>12874</v>
      </c>
      <c r="Y17" s="11">
        <v>12977</v>
      </c>
      <c r="Z17" s="30">
        <v>13029</v>
      </c>
      <c r="AA17" s="31">
        <v>14193</v>
      </c>
      <c r="AB17" s="11">
        <v>14660</v>
      </c>
      <c r="AC17" s="11">
        <v>14614</v>
      </c>
      <c r="AD17" s="30">
        <v>17151</v>
      </c>
      <c r="AE17" s="31">
        <v>2517</v>
      </c>
      <c r="AF17" s="11">
        <v>2561</v>
      </c>
      <c r="AG17" s="11">
        <v>2712</v>
      </c>
      <c r="AH17" s="30">
        <v>2760</v>
      </c>
      <c r="AI17" s="31">
        <v>3034</v>
      </c>
      <c r="AJ17" s="11">
        <v>3181</v>
      </c>
      <c r="AK17" s="11">
        <v>3466</v>
      </c>
      <c r="AL17" s="30">
        <v>3419</v>
      </c>
      <c r="AM17" s="31">
        <v>3746</v>
      </c>
      <c r="AN17" s="11">
        <v>3598</v>
      </c>
      <c r="AO17" s="11">
        <v>3824</v>
      </c>
      <c r="AP17" s="30">
        <v>3866</v>
      </c>
    </row>
    <row r="18" spans="2:42" s="1" customFormat="1">
      <c r="B18" s="9" t="s">
        <v>36</v>
      </c>
      <c r="C18" s="146">
        <v>5559</v>
      </c>
      <c r="D18" s="173">
        <v>6707</v>
      </c>
      <c r="E18" s="77">
        <v>7261</v>
      </c>
      <c r="F18" s="11">
        <v>7869</v>
      </c>
      <c r="G18" s="31">
        <v>8708</v>
      </c>
      <c r="H18" s="11">
        <v>7066</v>
      </c>
      <c r="I18" s="11">
        <v>7400</v>
      </c>
      <c r="J18" s="30">
        <v>9983</v>
      </c>
      <c r="K18" s="31">
        <v>10072</v>
      </c>
      <c r="L18" s="11">
        <v>7216</v>
      </c>
      <c r="M18" s="11">
        <v>7078</v>
      </c>
      <c r="N18" s="30">
        <v>7635</v>
      </c>
      <c r="O18" s="31">
        <v>7869</v>
      </c>
      <c r="P18" s="11">
        <v>8299</v>
      </c>
      <c r="Q18" s="11">
        <v>8066</v>
      </c>
      <c r="R18" s="30">
        <v>8105</v>
      </c>
      <c r="S18" s="31">
        <v>8693</v>
      </c>
      <c r="T18" s="11">
        <v>9130</v>
      </c>
      <c r="U18" s="11">
        <v>8998</v>
      </c>
      <c r="V18" s="30">
        <v>9347</v>
      </c>
      <c r="W18" s="31">
        <v>9387</v>
      </c>
      <c r="X18" s="11">
        <v>9190</v>
      </c>
      <c r="Y18" s="11">
        <v>9177</v>
      </c>
      <c r="Z18" s="30">
        <v>9455</v>
      </c>
      <c r="AA18" s="31">
        <v>9003</v>
      </c>
      <c r="AB18" s="11">
        <v>9319</v>
      </c>
      <c r="AC18" s="11">
        <v>9066</v>
      </c>
      <c r="AD18" s="30">
        <v>9445</v>
      </c>
      <c r="AE18" s="31">
        <v>9545</v>
      </c>
      <c r="AF18" s="11">
        <v>10588</v>
      </c>
      <c r="AG18" s="11">
        <v>10836</v>
      </c>
      <c r="AH18" s="30">
        <v>10497</v>
      </c>
      <c r="AI18" s="31">
        <v>10497</v>
      </c>
      <c r="AJ18" s="11">
        <v>10805</v>
      </c>
      <c r="AK18" s="11">
        <v>10619</v>
      </c>
      <c r="AL18" s="30">
        <v>10935</v>
      </c>
      <c r="AM18" s="31">
        <v>11623</v>
      </c>
      <c r="AN18" s="11">
        <v>11588</v>
      </c>
      <c r="AO18" s="11">
        <v>12124</v>
      </c>
      <c r="AP18" s="30">
        <v>11860</v>
      </c>
    </row>
    <row r="19" spans="2:42" s="1" customFormat="1">
      <c r="B19" s="62" t="s">
        <v>37</v>
      </c>
      <c r="C19" s="147">
        <v>9086667</v>
      </c>
      <c r="D19" s="159">
        <f t="shared" ref="D19" si="0">SUM(D7:D18)</f>
        <v>8327538</v>
      </c>
      <c r="E19" s="63">
        <f t="shared" ref="E19:F19" si="1">SUM(E7:E18)</f>
        <v>7316422</v>
      </c>
      <c r="F19" s="63">
        <f t="shared" si="1"/>
        <v>7463817</v>
      </c>
      <c r="G19" s="70">
        <f t="shared" ref="G19" si="2">SUM(G7:G18)</f>
        <v>6645632</v>
      </c>
      <c r="H19" s="63">
        <f t="shared" ref="H19" si="3">SUM(H7:H18)</f>
        <v>5737812</v>
      </c>
      <c r="I19" s="63">
        <f>SUM(I8:I18)</f>
        <v>5197507</v>
      </c>
      <c r="J19" s="69">
        <f t="shared" ref="J19" si="4">SUM(J8:J18)</f>
        <v>5375573</v>
      </c>
      <c r="K19" s="70">
        <f>SUM(K8:K18)</f>
        <v>4688658</v>
      </c>
      <c r="L19" s="63">
        <f t="shared" ref="L19:N19" si="5">SUM(L8:L18)</f>
        <v>4403363</v>
      </c>
      <c r="M19" s="63">
        <f t="shared" si="5"/>
        <v>4662942</v>
      </c>
      <c r="N19" s="69">
        <f t="shared" si="5"/>
        <v>4514440</v>
      </c>
      <c r="O19" s="70">
        <f>SUM(O8:O18)</f>
        <v>4114323</v>
      </c>
      <c r="P19" s="63">
        <f t="shared" ref="P19:R19" si="6">SUM(P8:P18)</f>
        <v>4176511</v>
      </c>
      <c r="Q19" s="63">
        <f t="shared" si="6"/>
        <v>3678167</v>
      </c>
      <c r="R19" s="69">
        <f t="shared" si="6"/>
        <v>3626672</v>
      </c>
      <c r="S19" s="70">
        <f>SUM(S8:S18)</f>
        <v>3147743</v>
      </c>
      <c r="T19" s="63">
        <f t="shared" ref="T19:V19" si="7">SUM(T8:T18)</f>
        <v>2979417</v>
      </c>
      <c r="U19" s="63">
        <f t="shared" si="7"/>
        <v>2720700</v>
      </c>
      <c r="V19" s="69">
        <f t="shared" si="7"/>
        <v>2813364</v>
      </c>
      <c r="W19" s="70">
        <f>SUM(W8:W18)</f>
        <v>2283526</v>
      </c>
      <c r="X19" s="63">
        <f t="shared" ref="X19:Z19" si="8">SUM(X8:X18)</f>
        <v>1942981</v>
      </c>
      <c r="Y19" s="63">
        <f t="shared" si="8"/>
        <v>1776845</v>
      </c>
      <c r="Z19" s="69">
        <f t="shared" si="8"/>
        <v>1506293</v>
      </c>
      <c r="AA19" s="70">
        <f>SUM(AA8:AA18)</f>
        <v>1138900</v>
      </c>
      <c r="AB19" s="63">
        <f t="shared" ref="AB19:AD19" si="9">SUM(AB8:AB18)</f>
        <v>1106757</v>
      </c>
      <c r="AC19" s="63">
        <f t="shared" si="9"/>
        <v>1027568</v>
      </c>
      <c r="AD19" s="69">
        <f t="shared" si="9"/>
        <v>1022614</v>
      </c>
      <c r="AE19" s="70">
        <f>SUM(AE8:AE18)</f>
        <v>970074</v>
      </c>
      <c r="AF19" s="63">
        <f t="shared" ref="AF19:AP19" si="10">SUM(AF8:AF18)</f>
        <v>972007</v>
      </c>
      <c r="AG19" s="63">
        <f t="shared" si="10"/>
        <v>979385</v>
      </c>
      <c r="AH19" s="69">
        <f t="shared" si="10"/>
        <v>919848</v>
      </c>
      <c r="AI19" s="70">
        <f t="shared" si="10"/>
        <v>897704</v>
      </c>
      <c r="AJ19" s="63">
        <f t="shared" si="10"/>
        <v>901898</v>
      </c>
      <c r="AK19" s="63">
        <f t="shared" si="10"/>
        <v>862908</v>
      </c>
      <c r="AL19" s="69">
        <f t="shared" si="10"/>
        <v>848354</v>
      </c>
      <c r="AM19" s="70">
        <f t="shared" si="10"/>
        <v>796753</v>
      </c>
      <c r="AN19" s="63">
        <f t="shared" si="10"/>
        <v>693644</v>
      </c>
      <c r="AO19" s="63">
        <f t="shared" si="10"/>
        <v>671269</v>
      </c>
      <c r="AP19" s="69">
        <f t="shared" si="10"/>
        <v>717308</v>
      </c>
    </row>
    <row r="20" spans="2:42" s="1" customFormat="1" ht="7.5" customHeight="1">
      <c r="B20" s="9"/>
      <c r="C20" s="97"/>
      <c r="E20" s="11"/>
      <c r="F20" s="11"/>
      <c r="G20" s="31"/>
      <c r="H20" s="11"/>
      <c r="I20" s="11"/>
      <c r="J20" s="30"/>
      <c r="K20" s="31"/>
      <c r="L20" s="11"/>
      <c r="M20" s="11"/>
      <c r="N20" s="30"/>
      <c r="O20" s="31"/>
      <c r="P20" s="11"/>
      <c r="Q20" s="11"/>
      <c r="R20" s="30"/>
      <c r="S20" s="31"/>
      <c r="T20" s="11"/>
      <c r="U20" s="11"/>
      <c r="V20" s="30"/>
      <c r="W20" s="31"/>
      <c r="X20" s="11"/>
      <c r="Y20" s="11"/>
      <c r="Z20" s="30"/>
      <c r="AA20" s="31"/>
      <c r="AB20" s="11"/>
      <c r="AC20" s="11"/>
      <c r="AD20" s="30"/>
      <c r="AE20" s="31"/>
      <c r="AF20" s="11"/>
      <c r="AG20" s="11"/>
      <c r="AH20" s="30"/>
      <c r="AI20" s="31"/>
      <c r="AJ20" s="11"/>
      <c r="AK20" s="11"/>
      <c r="AL20" s="30"/>
      <c r="AM20" s="31"/>
      <c r="AN20" s="11"/>
      <c r="AO20" s="11"/>
      <c r="AP20" s="30"/>
    </row>
    <row r="21" spans="2:42" s="1" customFormat="1">
      <c r="B21" s="60" t="s">
        <v>38</v>
      </c>
      <c r="C21" s="99"/>
      <c r="E21" s="11"/>
      <c r="F21" s="11"/>
      <c r="G21" s="31"/>
      <c r="H21" s="11"/>
      <c r="I21" s="11"/>
      <c r="J21" s="30"/>
      <c r="K21" s="31"/>
      <c r="L21" s="11"/>
      <c r="M21" s="11"/>
      <c r="N21" s="30"/>
      <c r="O21" s="31"/>
      <c r="P21" s="11"/>
      <c r="Q21" s="11"/>
      <c r="R21" s="30"/>
      <c r="S21" s="31"/>
      <c r="T21" s="11"/>
      <c r="U21" s="11"/>
      <c r="V21" s="30"/>
      <c r="W21" s="31"/>
      <c r="X21" s="11"/>
      <c r="Y21" s="11"/>
      <c r="Z21" s="30"/>
      <c r="AA21" s="31"/>
      <c r="AB21" s="11"/>
      <c r="AC21" s="11"/>
      <c r="AD21" s="30"/>
      <c r="AE21" s="31"/>
      <c r="AF21" s="11"/>
      <c r="AG21" s="11"/>
      <c r="AH21" s="30"/>
      <c r="AI21" s="31"/>
      <c r="AJ21" s="11"/>
      <c r="AK21" s="11"/>
      <c r="AL21" s="30"/>
      <c r="AM21" s="31"/>
      <c r="AN21" s="11"/>
      <c r="AO21" s="11"/>
      <c r="AP21" s="30"/>
    </row>
    <row r="22" spans="2:42" s="1" customFormat="1" ht="7.5" customHeight="1">
      <c r="B22" s="60"/>
      <c r="C22" s="99"/>
      <c r="E22" s="11"/>
      <c r="F22" s="11"/>
      <c r="G22" s="31"/>
      <c r="H22" s="11"/>
      <c r="I22" s="11"/>
      <c r="J22" s="30"/>
      <c r="K22" s="31"/>
      <c r="L22" s="11"/>
      <c r="M22" s="11"/>
      <c r="N22" s="30"/>
      <c r="O22" s="31"/>
      <c r="P22" s="11"/>
      <c r="Q22" s="11"/>
      <c r="R22" s="30"/>
      <c r="S22" s="31"/>
      <c r="T22" s="11"/>
      <c r="U22" s="11"/>
      <c r="V22" s="30"/>
      <c r="W22" s="31"/>
      <c r="X22" s="11"/>
      <c r="Y22" s="11"/>
      <c r="Z22" s="30"/>
      <c r="AA22" s="31"/>
      <c r="AB22" s="11"/>
      <c r="AC22" s="11"/>
      <c r="AD22" s="30"/>
      <c r="AE22" s="31"/>
      <c r="AF22" s="11"/>
      <c r="AG22" s="11"/>
      <c r="AH22" s="30"/>
      <c r="AI22" s="31"/>
      <c r="AJ22" s="11"/>
      <c r="AK22" s="11"/>
      <c r="AL22" s="30"/>
      <c r="AM22" s="31"/>
      <c r="AN22" s="11"/>
      <c r="AO22" s="11"/>
      <c r="AP22" s="30"/>
    </row>
    <row r="23" spans="2:42" s="1" customFormat="1">
      <c r="B23" s="60" t="s">
        <v>41</v>
      </c>
      <c r="C23" s="99"/>
      <c r="E23" s="11"/>
      <c r="F23" s="11"/>
      <c r="G23" s="31"/>
      <c r="H23" s="11"/>
      <c r="I23" s="11"/>
      <c r="J23" s="30"/>
      <c r="K23" s="31"/>
      <c r="L23" s="11"/>
      <c r="M23" s="11"/>
      <c r="N23" s="30"/>
      <c r="O23" s="31"/>
      <c r="P23" s="11"/>
      <c r="Q23" s="11"/>
      <c r="R23" s="30"/>
      <c r="S23" s="31"/>
      <c r="T23" s="11"/>
      <c r="U23" s="11"/>
      <c r="V23" s="30"/>
      <c r="W23" s="31"/>
      <c r="X23" s="11"/>
      <c r="Y23" s="11"/>
      <c r="Z23" s="30"/>
      <c r="AA23" s="31"/>
      <c r="AB23" s="11"/>
      <c r="AC23" s="11"/>
      <c r="AD23" s="30"/>
      <c r="AE23" s="31"/>
      <c r="AF23" s="11"/>
      <c r="AG23" s="11"/>
      <c r="AH23" s="30"/>
      <c r="AI23" s="31"/>
      <c r="AJ23" s="11"/>
      <c r="AK23" s="11"/>
      <c r="AL23" s="30"/>
      <c r="AM23" s="31"/>
      <c r="AN23" s="11"/>
      <c r="AO23" s="11"/>
      <c r="AP23" s="30"/>
    </row>
    <row r="24" spans="2:42" s="1" customFormat="1">
      <c r="B24" s="9" t="s">
        <v>42</v>
      </c>
      <c r="C24" s="150">
        <v>6528223</v>
      </c>
      <c r="D24" s="173">
        <v>5933736</v>
      </c>
      <c r="E24" s="77">
        <v>5110193</v>
      </c>
      <c r="F24" s="11">
        <v>4755121</v>
      </c>
      <c r="G24" s="31">
        <v>4164895</v>
      </c>
      <c r="H24" s="11">
        <v>3596726</v>
      </c>
      <c r="I24" s="11">
        <v>3222887</v>
      </c>
      <c r="J24" s="30">
        <v>2917299</v>
      </c>
      <c r="K24" s="31">
        <v>2638122</v>
      </c>
      <c r="L24" s="11">
        <v>2594097</v>
      </c>
      <c r="M24" s="11">
        <v>2451290</v>
      </c>
      <c r="N24" s="30">
        <v>2398456</v>
      </c>
      <c r="O24" s="31">
        <v>2327728</v>
      </c>
      <c r="P24" s="11">
        <v>2371055</v>
      </c>
      <c r="Q24" s="11">
        <v>2173874</v>
      </c>
      <c r="R24" s="30">
        <v>2166927</v>
      </c>
      <c r="S24" s="31">
        <v>2010490</v>
      </c>
      <c r="T24" s="11">
        <v>1903659</v>
      </c>
      <c r="U24" s="11">
        <v>1751502</v>
      </c>
      <c r="V24" s="30">
        <v>1580572</v>
      </c>
      <c r="W24" s="31">
        <v>1203243</v>
      </c>
      <c r="X24" s="11">
        <v>963967</v>
      </c>
      <c r="Y24" s="11">
        <v>862345</v>
      </c>
      <c r="Z24" s="30">
        <v>670395</v>
      </c>
      <c r="AA24" s="31">
        <v>573792</v>
      </c>
      <c r="AB24" s="11">
        <v>576859</v>
      </c>
      <c r="AC24" s="11">
        <v>522153</v>
      </c>
      <c r="AD24" s="30">
        <v>500688</v>
      </c>
      <c r="AE24" s="31">
        <v>447841</v>
      </c>
      <c r="AF24" s="11">
        <v>419876</v>
      </c>
      <c r="AG24" s="11">
        <v>424955</v>
      </c>
      <c r="AH24" s="30">
        <v>402622</v>
      </c>
      <c r="AI24" s="31">
        <v>421400</v>
      </c>
      <c r="AJ24" s="11">
        <v>455863</v>
      </c>
      <c r="AK24" s="11">
        <v>457208</v>
      </c>
      <c r="AL24" s="30">
        <v>418384</v>
      </c>
      <c r="AM24" s="31">
        <v>377268</v>
      </c>
      <c r="AN24" s="11">
        <v>342629</v>
      </c>
      <c r="AO24" s="11">
        <v>320637</v>
      </c>
      <c r="AP24" s="30">
        <v>319222</v>
      </c>
    </row>
    <row r="25" spans="2:42" s="1" customFormat="1">
      <c r="B25" s="9" t="s">
        <v>43</v>
      </c>
      <c r="C25" s="150">
        <v>271159</v>
      </c>
      <c r="D25" s="173">
        <v>259735</v>
      </c>
      <c r="E25" s="77">
        <v>185710</v>
      </c>
      <c r="F25" s="11">
        <v>197027</v>
      </c>
      <c r="G25" s="31">
        <v>208193</v>
      </c>
      <c r="H25" s="11">
        <v>120398</v>
      </c>
      <c r="I25" s="11">
        <v>153268</v>
      </c>
      <c r="J25" s="30">
        <v>185585</v>
      </c>
      <c r="K25" s="31">
        <v>110358</v>
      </c>
      <c r="L25" s="11">
        <v>102278</v>
      </c>
      <c r="M25" s="11">
        <v>103386</v>
      </c>
      <c r="N25" s="30">
        <v>107498</v>
      </c>
      <c r="O25" s="31">
        <v>105552</v>
      </c>
      <c r="P25" s="11">
        <v>131571</v>
      </c>
      <c r="Q25" s="11">
        <v>113052</v>
      </c>
      <c r="R25" s="30">
        <v>112545</v>
      </c>
      <c r="S25" s="31">
        <v>127712</v>
      </c>
      <c r="T25" s="11">
        <v>123595</v>
      </c>
      <c r="U25" s="11">
        <v>140963</v>
      </c>
      <c r="V25" s="30">
        <v>152517</v>
      </c>
      <c r="W25" s="31">
        <v>96632</v>
      </c>
      <c r="X25" s="11">
        <v>54848</v>
      </c>
      <c r="Y25" s="11">
        <v>63133</v>
      </c>
      <c r="Z25" s="30">
        <v>39942</v>
      </c>
      <c r="AA25" s="31">
        <v>23529</v>
      </c>
      <c r="AB25" s="11">
        <v>20135</v>
      </c>
      <c r="AC25" s="11">
        <v>22232</v>
      </c>
      <c r="AD25" s="30">
        <v>15938</v>
      </c>
      <c r="AE25" s="31">
        <v>28227</v>
      </c>
      <c r="AF25" s="11">
        <v>16241</v>
      </c>
      <c r="AG25" s="11">
        <v>16459</v>
      </c>
      <c r="AH25" s="30">
        <v>19657</v>
      </c>
      <c r="AI25" s="31">
        <v>40905</v>
      </c>
      <c r="AJ25" s="11">
        <v>30948</v>
      </c>
      <c r="AK25" s="11">
        <v>26980</v>
      </c>
      <c r="AL25" s="30">
        <v>28520</v>
      </c>
      <c r="AM25" s="31">
        <v>22645</v>
      </c>
      <c r="AN25" s="11">
        <v>9013</v>
      </c>
      <c r="AO25" s="11">
        <v>10208</v>
      </c>
      <c r="AP25" s="30">
        <v>9636</v>
      </c>
    </row>
    <row r="26" spans="2:42" s="1" customFormat="1">
      <c r="B26" s="9" t="s">
        <v>44</v>
      </c>
      <c r="C26" s="150">
        <v>1497</v>
      </c>
      <c r="D26" s="79">
        <v>988</v>
      </c>
      <c r="E26" s="77">
        <v>1224</v>
      </c>
      <c r="F26" s="11">
        <v>1634</v>
      </c>
      <c r="G26" s="31">
        <v>13316</v>
      </c>
      <c r="H26" s="11">
        <v>1058</v>
      </c>
      <c r="I26" s="11">
        <v>5227</v>
      </c>
      <c r="J26" s="30">
        <v>13675</v>
      </c>
      <c r="K26" s="31">
        <v>22991</v>
      </c>
      <c r="L26" s="11">
        <v>2884</v>
      </c>
      <c r="M26" s="11">
        <v>860</v>
      </c>
      <c r="N26" s="30">
        <v>1000</v>
      </c>
      <c r="O26" s="31">
        <v>1827</v>
      </c>
      <c r="P26" s="11">
        <v>11479</v>
      </c>
      <c r="Q26" s="11">
        <v>811</v>
      </c>
      <c r="R26" s="30">
        <v>21528</v>
      </c>
      <c r="S26" s="31">
        <v>783</v>
      </c>
      <c r="T26" s="11">
        <v>5041</v>
      </c>
      <c r="U26" s="11">
        <v>993</v>
      </c>
      <c r="V26" s="30">
        <v>4361</v>
      </c>
      <c r="W26" s="31">
        <v>1329</v>
      </c>
      <c r="X26" s="11">
        <v>1205</v>
      </c>
      <c r="Y26" s="11">
        <v>904</v>
      </c>
      <c r="Z26" s="30">
        <v>26041</v>
      </c>
      <c r="AA26" s="31">
        <v>1697</v>
      </c>
      <c r="AB26" s="11">
        <v>123</v>
      </c>
      <c r="AC26" s="11">
        <v>285</v>
      </c>
      <c r="AD26" s="30">
        <v>440</v>
      </c>
      <c r="AE26" s="31">
        <v>232</v>
      </c>
      <c r="AF26" s="11">
        <v>281</v>
      </c>
      <c r="AG26" s="11">
        <v>523</v>
      </c>
      <c r="AH26" s="30">
        <v>2867</v>
      </c>
      <c r="AI26" s="31">
        <v>1268</v>
      </c>
      <c r="AJ26" s="11">
        <v>4444</v>
      </c>
      <c r="AK26" s="11">
        <v>3304</v>
      </c>
      <c r="AL26" s="30">
        <v>2270</v>
      </c>
      <c r="AM26" s="31">
        <v>4262</v>
      </c>
      <c r="AN26" s="11">
        <v>3339</v>
      </c>
      <c r="AO26" s="11">
        <v>2318</v>
      </c>
      <c r="AP26" s="30">
        <v>2179</v>
      </c>
    </row>
    <row r="27" spans="2:42" s="1" customFormat="1">
      <c r="B27" s="9" t="s">
        <v>66</v>
      </c>
      <c r="C27" s="150">
        <v>25867</v>
      </c>
      <c r="D27" s="173">
        <v>28068</v>
      </c>
      <c r="E27" s="77">
        <v>27638</v>
      </c>
      <c r="F27" s="11">
        <v>30965</v>
      </c>
      <c r="G27" s="31">
        <v>33935</v>
      </c>
      <c r="H27" s="11">
        <v>26699</v>
      </c>
      <c r="I27" s="11">
        <v>27731</v>
      </c>
      <c r="J27" s="30">
        <v>28304</v>
      </c>
      <c r="K27" s="31">
        <v>29603</v>
      </c>
      <c r="L27" s="11">
        <v>31645</v>
      </c>
      <c r="M27" s="11">
        <v>32225</v>
      </c>
      <c r="N27" s="30">
        <v>33494</v>
      </c>
      <c r="O27" s="31">
        <v>30450</v>
      </c>
      <c r="P27" s="11">
        <v>25737</v>
      </c>
      <c r="Q27" s="11">
        <v>25597</v>
      </c>
      <c r="R27" s="30">
        <v>25301</v>
      </c>
      <c r="S27" s="31">
        <v>7437</v>
      </c>
      <c r="T27" s="11">
        <v>8110</v>
      </c>
      <c r="U27" s="11">
        <v>9126</v>
      </c>
      <c r="V27" s="30">
        <v>7508</v>
      </c>
      <c r="W27" s="31">
        <v>8654</v>
      </c>
      <c r="X27" s="11">
        <v>9512</v>
      </c>
      <c r="Y27" s="11">
        <v>9516</v>
      </c>
      <c r="Z27" s="30">
        <v>10216</v>
      </c>
      <c r="AA27" s="31">
        <v>10772</v>
      </c>
      <c r="AB27" s="11">
        <v>12075</v>
      </c>
      <c r="AC27" s="11">
        <v>11749</v>
      </c>
      <c r="AD27" s="30">
        <v>14525</v>
      </c>
      <c r="AE27" s="31">
        <v>37</v>
      </c>
      <c r="AF27" s="11">
        <v>59</v>
      </c>
      <c r="AG27" s="11">
        <v>81</v>
      </c>
      <c r="AH27" s="30">
        <v>101</v>
      </c>
      <c r="AI27" s="31">
        <v>128</v>
      </c>
      <c r="AJ27" s="11">
        <v>159</v>
      </c>
      <c r="AK27" s="11">
        <v>182</v>
      </c>
      <c r="AL27" s="30">
        <v>214</v>
      </c>
      <c r="AM27" s="31">
        <v>258</v>
      </c>
      <c r="AN27" s="11">
        <v>285</v>
      </c>
      <c r="AO27" s="11">
        <v>324</v>
      </c>
      <c r="AP27" s="30">
        <v>345</v>
      </c>
    </row>
    <row r="28" spans="2:42" s="1" customFormat="1">
      <c r="B28" s="9" t="s">
        <v>45</v>
      </c>
      <c r="C28" s="150">
        <v>174508</v>
      </c>
      <c r="D28" s="173">
        <v>198238</v>
      </c>
      <c r="E28" s="77">
        <v>149085</v>
      </c>
      <c r="F28" s="11">
        <v>206010</v>
      </c>
      <c r="G28" s="31">
        <v>156884</v>
      </c>
      <c r="H28" s="11">
        <v>111593</v>
      </c>
      <c r="I28" s="11">
        <v>120633</v>
      </c>
      <c r="J28" s="30">
        <v>117130</v>
      </c>
      <c r="K28" s="31">
        <v>86080</v>
      </c>
      <c r="L28" s="11">
        <v>113100</v>
      </c>
      <c r="M28" s="11">
        <v>640541</v>
      </c>
      <c r="N28" s="30">
        <v>88123</v>
      </c>
      <c r="O28" s="31">
        <v>79705</v>
      </c>
      <c r="P28" s="11">
        <v>94596</v>
      </c>
      <c r="Q28" s="11">
        <v>76116</v>
      </c>
      <c r="R28" s="30">
        <v>92334</v>
      </c>
      <c r="S28" s="31">
        <v>48377</v>
      </c>
      <c r="T28" s="11">
        <v>41601</v>
      </c>
      <c r="U28" s="11">
        <v>32842</v>
      </c>
      <c r="V28" s="30">
        <v>48887</v>
      </c>
      <c r="W28" s="31">
        <v>54167</v>
      </c>
      <c r="X28" s="11">
        <v>39884</v>
      </c>
      <c r="Y28" s="11">
        <v>44012</v>
      </c>
      <c r="Z28" s="30">
        <v>49163</v>
      </c>
      <c r="AA28" s="31">
        <v>19676</v>
      </c>
      <c r="AB28" s="11">
        <v>18600</v>
      </c>
      <c r="AC28" s="11">
        <v>16749</v>
      </c>
      <c r="AD28" s="30">
        <v>20386</v>
      </c>
      <c r="AE28" s="31">
        <v>23744</v>
      </c>
      <c r="AF28" s="11">
        <v>31849</v>
      </c>
      <c r="AG28" s="11">
        <v>20084</v>
      </c>
      <c r="AH28" s="30">
        <v>22332</v>
      </c>
      <c r="AI28" s="31">
        <v>21785</v>
      </c>
      <c r="AJ28" s="11">
        <v>19988</v>
      </c>
      <c r="AK28" s="11">
        <v>18780</v>
      </c>
      <c r="AL28" s="30">
        <v>21881</v>
      </c>
      <c r="AM28" s="31">
        <v>22435</v>
      </c>
      <c r="AN28" s="11">
        <v>20671</v>
      </c>
      <c r="AO28" s="11">
        <v>22915</v>
      </c>
      <c r="AP28" s="30">
        <v>61772</v>
      </c>
    </row>
    <row r="29" spans="2:42" s="1" customFormat="1">
      <c r="B29" s="9" t="s">
        <v>46</v>
      </c>
      <c r="C29" s="150">
        <v>6414</v>
      </c>
      <c r="D29" s="173">
        <v>3486</v>
      </c>
      <c r="E29" s="77">
        <v>3469</v>
      </c>
      <c r="F29" s="11">
        <v>3449</v>
      </c>
      <c r="G29" s="31">
        <v>3530</v>
      </c>
      <c r="H29" s="11">
        <v>3717</v>
      </c>
      <c r="I29" s="11">
        <v>3749</v>
      </c>
      <c r="J29" s="30">
        <v>3733</v>
      </c>
      <c r="K29" s="31">
        <v>3892</v>
      </c>
      <c r="L29" s="11">
        <v>4920</v>
      </c>
      <c r="M29" s="11">
        <v>4261</v>
      </c>
      <c r="N29" s="30">
        <v>4055</v>
      </c>
      <c r="O29" s="31">
        <v>4256</v>
      </c>
      <c r="P29" s="11">
        <v>4402</v>
      </c>
      <c r="Q29" s="11">
        <v>4245</v>
      </c>
      <c r="R29" s="30">
        <v>3612</v>
      </c>
      <c r="S29" s="31">
        <v>4965</v>
      </c>
      <c r="T29" s="11">
        <v>6004</v>
      </c>
      <c r="U29" s="11">
        <v>6287</v>
      </c>
      <c r="V29" s="30">
        <v>6855</v>
      </c>
      <c r="W29" s="31">
        <v>7939</v>
      </c>
      <c r="X29" s="11">
        <v>4078</v>
      </c>
      <c r="Y29" s="11">
        <v>4064</v>
      </c>
      <c r="Z29" s="30">
        <v>3152</v>
      </c>
      <c r="AA29" s="31">
        <v>3129</v>
      </c>
      <c r="AB29" s="11">
        <v>3300</v>
      </c>
      <c r="AC29" s="11">
        <v>2757</v>
      </c>
      <c r="AD29" s="30">
        <v>2502</v>
      </c>
      <c r="AE29" s="31">
        <v>1980</v>
      </c>
      <c r="AF29" s="11">
        <v>1795</v>
      </c>
      <c r="AG29" s="11">
        <v>3060</v>
      </c>
      <c r="AH29" s="30">
        <v>1759</v>
      </c>
      <c r="AI29" s="31">
        <v>1666</v>
      </c>
      <c r="AJ29" s="11">
        <v>829</v>
      </c>
      <c r="AK29" s="11">
        <v>827</v>
      </c>
      <c r="AL29" s="30">
        <v>922</v>
      </c>
      <c r="AM29" s="31">
        <v>948</v>
      </c>
      <c r="AN29" s="11">
        <v>907</v>
      </c>
      <c r="AO29" s="11">
        <v>1218</v>
      </c>
      <c r="AP29" s="30">
        <v>875</v>
      </c>
    </row>
    <row r="30" spans="2:42" s="1" customFormat="1">
      <c r="B30" s="9" t="s">
        <v>47</v>
      </c>
      <c r="C30" s="150">
        <v>78502</v>
      </c>
      <c r="D30" s="173">
        <v>84187</v>
      </c>
      <c r="E30" s="77">
        <v>75896</v>
      </c>
      <c r="F30" s="11">
        <v>75496</v>
      </c>
      <c r="G30" s="31">
        <v>61238</v>
      </c>
      <c r="H30" s="11">
        <v>69119</v>
      </c>
      <c r="I30" s="11">
        <v>58902</v>
      </c>
      <c r="J30" s="30">
        <v>71101</v>
      </c>
      <c r="K30" s="31">
        <v>62949</v>
      </c>
      <c r="L30" s="11">
        <v>77354</v>
      </c>
      <c r="M30" s="11">
        <v>77499</v>
      </c>
      <c r="N30" s="30">
        <v>73441</v>
      </c>
      <c r="O30" s="31">
        <v>58736</v>
      </c>
      <c r="P30" s="11">
        <v>75308</v>
      </c>
      <c r="Q30" s="11">
        <v>62998</v>
      </c>
      <c r="R30" s="30">
        <v>35109</v>
      </c>
      <c r="S30" s="31">
        <v>32419</v>
      </c>
      <c r="T30" s="11">
        <v>44173</v>
      </c>
      <c r="U30" s="11">
        <v>37374</v>
      </c>
      <c r="V30" s="30">
        <v>35002</v>
      </c>
      <c r="W30" s="31">
        <v>23257</v>
      </c>
      <c r="X30" s="11">
        <v>22897</v>
      </c>
      <c r="Y30" s="11">
        <v>14826</v>
      </c>
      <c r="Z30" s="30">
        <v>17252</v>
      </c>
      <c r="AA30" s="31">
        <v>15561</v>
      </c>
      <c r="AB30" s="11">
        <v>18994</v>
      </c>
      <c r="AC30" s="11">
        <v>13791</v>
      </c>
      <c r="AD30" s="30">
        <v>12635</v>
      </c>
      <c r="AE30" s="31">
        <v>12857</v>
      </c>
      <c r="AF30" s="11">
        <v>12834</v>
      </c>
      <c r="AG30" s="11">
        <v>14933</v>
      </c>
      <c r="AH30" s="30">
        <v>12173</v>
      </c>
      <c r="AI30" s="31">
        <v>10210</v>
      </c>
      <c r="AJ30" s="11">
        <v>17245</v>
      </c>
      <c r="AK30" s="11">
        <v>14662</v>
      </c>
      <c r="AL30" s="30">
        <v>14953</v>
      </c>
      <c r="AM30" s="31">
        <v>13044</v>
      </c>
      <c r="AN30" s="11">
        <v>10043</v>
      </c>
      <c r="AO30" s="11">
        <v>6517</v>
      </c>
      <c r="AP30" s="30">
        <v>9520</v>
      </c>
    </row>
    <row r="31" spans="2:42" s="1" customFormat="1">
      <c r="B31" s="62" t="s">
        <v>48</v>
      </c>
      <c r="C31" s="152">
        <v>7086170</v>
      </c>
      <c r="D31" s="159">
        <f t="shared" ref="D31" si="11">SUM(D24:D30)</f>
        <v>6508438</v>
      </c>
      <c r="E31" s="63">
        <f t="shared" ref="E31:F31" si="12">SUM(E24:E30)</f>
        <v>5553215</v>
      </c>
      <c r="F31" s="63">
        <f t="shared" si="12"/>
        <v>5269702</v>
      </c>
      <c r="G31" s="70">
        <f t="shared" ref="G31" si="13">SUM(G24:G30)</f>
        <v>4641991</v>
      </c>
      <c r="H31" s="63">
        <f t="shared" ref="H31" si="14">SUM(H24:H30)</f>
        <v>3929310</v>
      </c>
      <c r="I31" s="63">
        <f t="shared" ref="I31:AP31" si="15">SUM(I24:I30)</f>
        <v>3592397</v>
      </c>
      <c r="J31" s="69">
        <f t="shared" si="15"/>
        <v>3336827</v>
      </c>
      <c r="K31" s="70">
        <f t="shared" si="15"/>
        <v>2953995</v>
      </c>
      <c r="L31" s="63">
        <f t="shared" si="15"/>
        <v>2926278</v>
      </c>
      <c r="M31" s="63">
        <f t="shared" si="15"/>
        <v>3310062</v>
      </c>
      <c r="N31" s="69">
        <f t="shared" si="15"/>
        <v>2706067</v>
      </c>
      <c r="O31" s="70">
        <f t="shared" si="15"/>
        <v>2608254</v>
      </c>
      <c r="P31" s="63">
        <f t="shared" si="15"/>
        <v>2714148</v>
      </c>
      <c r="Q31" s="63">
        <f t="shared" si="15"/>
        <v>2456693</v>
      </c>
      <c r="R31" s="69">
        <f t="shared" si="15"/>
        <v>2457356</v>
      </c>
      <c r="S31" s="70">
        <f t="shared" si="15"/>
        <v>2232183</v>
      </c>
      <c r="T31" s="63">
        <f t="shared" si="15"/>
        <v>2132183</v>
      </c>
      <c r="U31" s="63">
        <f t="shared" si="15"/>
        <v>1979087</v>
      </c>
      <c r="V31" s="69">
        <f t="shared" si="15"/>
        <v>1835702</v>
      </c>
      <c r="W31" s="70">
        <f t="shared" si="15"/>
        <v>1395221</v>
      </c>
      <c r="X31" s="63">
        <f t="shared" si="15"/>
        <v>1096391</v>
      </c>
      <c r="Y31" s="63">
        <f t="shared" si="15"/>
        <v>998800</v>
      </c>
      <c r="Z31" s="69">
        <f t="shared" si="15"/>
        <v>816161</v>
      </c>
      <c r="AA31" s="70">
        <f t="shared" si="15"/>
        <v>648156</v>
      </c>
      <c r="AB31" s="63">
        <f t="shared" si="15"/>
        <v>650086</v>
      </c>
      <c r="AC31" s="63">
        <f t="shared" si="15"/>
        <v>589716</v>
      </c>
      <c r="AD31" s="69">
        <f t="shared" si="15"/>
        <v>567114</v>
      </c>
      <c r="AE31" s="70">
        <f t="shared" si="15"/>
        <v>514918</v>
      </c>
      <c r="AF31" s="63">
        <f t="shared" si="15"/>
        <v>482935</v>
      </c>
      <c r="AG31" s="63">
        <f t="shared" si="15"/>
        <v>480095</v>
      </c>
      <c r="AH31" s="69">
        <f t="shared" si="15"/>
        <v>461511</v>
      </c>
      <c r="AI31" s="70">
        <f t="shared" si="15"/>
        <v>497362</v>
      </c>
      <c r="AJ31" s="63">
        <f t="shared" si="15"/>
        <v>529476</v>
      </c>
      <c r="AK31" s="63">
        <f t="shared" si="15"/>
        <v>521943</v>
      </c>
      <c r="AL31" s="69">
        <f t="shared" si="15"/>
        <v>487144</v>
      </c>
      <c r="AM31" s="70">
        <f t="shared" si="15"/>
        <v>440860</v>
      </c>
      <c r="AN31" s="63">
        <f t="shared" si="15"/>
        <v>386887</v>
      </c>
      <c r="AO31" s="63">
        <f t="shared" si="15"/>
        <v>364137</v>
      </c>
      <c r="AP31" s="69">
        <f t="shared" si="15"/>
        <v>403549</v>
      </c>
    </row>
    <row r="32" spans="2:42" s="1" customFormat="1" ht="6.75" customHeight="1">
      <c r="B32" s="60"/>
      <c r="C32" s="151"/>
      <c r="D32" s="179"/>
      <c r="E32" s="64"/>
      <c r="F32" s="64"/>
      <c r="G32" s="42"/>
      <c r="H32" s="16"/>
      <c r="I32" s="16"/>
      <c r="J32" s="43"/>
      <c r="K32" s="42"/>
      <c r="L32" s="16"/>
      <c r="M32" s="16"/>
      <c r="N32" s="43"/>
      <c r="O32" s="42"/>
      <c r="P32" s="16"/>
      <c r="Q32" s="16"/>
      <c r="R32" s="43"/>
      <c r="S32" s="42"/>
      <c r="T32" s="16"/>
      <c r="U32" s="16"/>
      <c r="V32" s="43"/>
      <c r="W32" s="42"/>
      <c r="X32" s="16"/>
      <c r="Y32" s="16"/>
      <c r="Z32" s="43"/>
      <c r="AA32" s="42"/>
      <c r="AB32" s="16"/>
      <c r="AC32" s="16"/>
      <c r="AD32" s="43"/>
      <c r="AE32" s="42"/>
      <c r="AF32" s="16"/>
      <c r="AG32" s="16"/>
      <c r="AH32" s="43"/>
      <c r="AI32" s="42"/>
      <c r="AJ32" s="16"/>
      <c r="AK32" s="16"/>
      <c r="AL32" s="43"/>
      <c r="AM32" s="42"/>
      <c r="AN32" s="16"/>
      <c r="AO32" s="16"/>
      <c r="AP32" s="43"/>
    </row>
    <row r="33" spans="2:42" s="1" customFormat="1">
      <c r="B33" s="60" t="s">
        <v>49</v>
      </c>
      <c r="C33" s="151"/>
      <c r="D33" s="179"/>
      <c r="E33" s="64"/>
      <c r="F33" s="64"/>
      <c r="G33" s="31"/>
      <c r="H33" s="11"/>
      <c r="I33" s="11"/>
      <c r="J33" s="30"/>
      <c r="K33" s="31"/>
      <c r="L33" s="11"/>
      <c r="M33" s="11"/>
      <c r="N33" s="30"/>
      <c r="O33" s="31"/>
      <c r="P33" s="11"/>
      <c r="Q33" s="11"/>
      <c r="R33" s="30"/>
      <c r="S33" s="31"/>
      <c r="T33" s="11"/>
      <c r="U33" s="11"/>
      <c r="V33" s="30"/>
      <c r="W33" s="31"/>
      <c r="X33" s="11"/>
      <c r="Y33" s="11"/>
      <c r="Z33" s="30"/>
      <c r="AA33" s="31"/>
      <c r="AB33" s="11"/>
      <c r="AC33" s="11"/>
      <c r="AD33" s="30"/>
      <c r="AE33" s="31"/>
      <c r="AF33" s="11"/>
      <c r="AG33" s="11"/>
      <c r="AH33" s="30"/>
      <c r="AI33" s="31"/>
      <c r="AJ33" s="11"/>
      <c r="AK33" s="11"/>
      <c r="AL33" s="30"/>
      <c r="AM33" s="31"/>
      <c r="AN33" s="11"/>
      <c r="AO33" s="11"/>
      <c r="AP33" s="30"/>
    </row>
    <row r="34" spans="2:42" s="1" customFormat="1">
      <c r="B34" s="9" t="s">
        <v>50</v>
      </c>
      <c r="C34" s="149">
        <v>5878</v>
      </c>
      <c r="D34" s="157">
        <v>5878</v>
      </c>
      <c r="E34" s="77">
        <v>5878</v>
      </c>
      <c r="F34" s="11">
        <v>5878</v>
      </c>
      <c r="G34" s="31">
        <v>5878</v>
      </c>
      <c r="H34" s="11">
        <v>5878</v>
      </c>
      <c r="I34" s="11">
        <v>5878</v>
      </c>
      <c r="J34" s="30">
        <v>5878</v>
      </c>
      <c r="K34" s="31">
        <v>5878</v>
      </c>
      <c r="L34" s="11">
        <v>5869</v>
      </c>
      <c r="M34" s="11">
        <v>5869</v>
      </c>
      <c r="N34" s="30">
        <v>5869</v>
      </c>
      <c r="O34" s="31">
        <v>5869</v>
      </c>
      <c r="P34" s="11">
        <v>5869</v>
      </c>
      <c r="Q34" s="11">
        <v>5869</v>
      </c>
      <c r="R34" s="30">
        <v>5869</v>
      </c>
      <c r="S34" s="31">
        <v>5869</v>
      </c>
      <c r="T34" s="11">
        <v>5869</v>
      </c>
      <c r="U34" s="11">
        <v>5869</v>
      </c>
      <c r="V34" s="30">
        <v>5869</v>
      </c>
      <c r="W34" s="31">
        <v>5869</v>
      </c>
      <c r="X34" s="11">
        <v>5869</v>
      </c>
      <c r="Y34" s="11">
        <v>5869</v>
      </c>
      <c r="Z34" s="30">
        <v>5869</v>
      </c>
      <c r="AA34" s="31">
        <v>5869</v>
      </c>
      <c r="AB34" s="11">
        <v>5869</v>
      </c>
      <c r="AC34" s="11">
        <v>5869</v>
      </c>
      <c r="AD34" s="30">
        <v>5869</v>
      </c>
      <c r="AE34" s="31">
        <v>5869</v>
      </c>
      <c r="AF34" s="11">
        <v>5869</v>
      </c>
      <c r="AG34" s="11">
        <v>5869</v>
      </c>
      <c r="AH34" s="30">
        <v>5869</v>
      </c>
      <c r="AI34" s="31">
        <v>5869</v>
      </c>
      <c r="AJ34" s="11">
        <v>5869</v>
      </c>
      <c r="AK34" s="11">
        <v>5869</v>
      </c>
      <c r="AL34" s="30">
        <v>5869</v>
      </c>
      <c r="AM34" s="31">
        <v>5869</v>
      </c>
      <c r="AN34" s="11">
        <v>5869</v>
      </c>
      <c r="AO34" s="11">
        <v>5869</v>
      </c>
      <c r="AP34" s="30">
        <v>5869</v>
      </c>
    </row>
    <row r="35" spans="2:42" s="1" customFormat="1">
      <c r="B35" s="9" t="s">
        <v>51</v>
      </c>
      <c r="C35" s="150">
        <v>71608</v>
      </c>
      <c r="D35" s="173">
        <v>71608</v>
      </c>
      <c r="E35" s="77">
        <v>71608</v>
      </c>
      <c r="F35" s="11">
        <v>71608</v>
      </c>
      <c r="G35" s="31">
        <v>71608</v>
      </c>
      <c r="H35" s="11">
        <v>71608</v>
      </c>
      <c r="I35" s="11">
        <v>71608</v>
      </c>
      <c r="J35" s="30">
        <v>71608</v>
      </c>
      <c r="K35" s="31">
        <v>71608</v>
      </c>
      <c r="L35" s="11">
        <v>71608</v>
      </c>
      <c r="M35" s="11">
        <v>71608</v>
      </c>
      <c r="N35" s="30">
        <v>71608</v>
      </c>
      <c r="O35" s="31">
        <v>71608</v>
      </c>
      <c r="P35" s="11">
        <v>71608</v>
      </c>
      <c r="Q35" s="11">
        <v>71608</v>
      </c>
      <c r="R35" s="30">
        <v>71608</v>
      </c>
      <c r="S35" s="31">
        <v>71608</v>
      </c>
      <c r="T35" s="11">
        <v>71608</v>
      </c>
      <c r="U35" s="11">
        <v>71608</v>
      </c>
      <c r="V35" s="30">
        <v>71608</v>
      </c>
      <c r="W35" s="31">
        <v>71608</v>
      </c>
      <c r="X35" s="11">
        <v>71608</v>
      </c>
      <c r="Y35" s="11">
        <v>71608</v>
      </c>
      <c r="Z35" s="30">
        <v>71608</v>
      </c>
      <c r="AA35" s="31">
        <v>71608</v>
      </c>
      <c r="AB35" s="11">
        <v>71608</v>
      </c>
      <c r="AC35" s="11">
        <v>71608</v>
      </c>
      <c r="AD35" s="30">
        <v>71608</v>
      </c>
      <c r="AE35" s="31">
        <v>71608</v>
      </c>
      <c r="AF35" s="11">
        <v>71608</v>
      </c>
      <c r="AG35" s="11">
        <v>71608</v>
      </c>
      <c r="AH35" s="30">
        <v>71608</v>
      </c>
      <c r="AI35" s="31">
        <v>71608</v>
      </c>
      <c r="AJ35" s="11">
        <v>71608</v>
      </c>
      <c r="AK35" s="11">
        <v>71608</v>
      </c>
      <c r="AL35" s="30">
        <v>71608</v>
      </c>
      <c r="AM35" s="31">
        <v>71608</v>
      </c>
      <c r="AN35" s="11">
        <v>71608</v>
      </c>
      <c r="AO35" s="11">
        <v>71608</v>
      </c>
      <c r="AP35" s="30">
        <v>71608</v>
      </c>
    </row>
    <row r="36" spans="2:42" s="1" customFormat="1">
      <c r="B36" s="9" t="s">
        <v>52</v>
      </c>
      <c r="C36" s="150">
        <v>1274458</v>
      </c>
      <c r="D36" s="173">
        <v>1273625</v>
      </c>
      <c r="E36" s="77">
        <v>1270800</v>
      </c>
      <c r="F36" s="11">
        <v>1061213</v>
      </c>
      <c r="G36" s="31">
        <v>1059614</v>
      </c>
      <c r="H36" s="11">
        <v>1058134</v>
      </c>
      <c r="I36" s="11">
        <v>1056088</v>
      </c>
      <c r="J36" s="30">
        <v>864731</v>
      </c>
      <c r="K36" s="31">
        <v>863166</v>
      </c>
      <c r="L36" s="11">
        <v>848635</v>
      </c>
      <c r="M36" s="11">
        <v>848635</v>
      </c>
      <c r="N36" s="30">
        <v>657555</v>
      </c>
      <c r="O36" s="31">
        <v>657555</v>
      </c>
      <c r="P36" s="11">
        <v>657555</v>
      </c>
      <c r="Q36" s="11">
        <v>657555</v>
      </c>
      <c r="R36" s="30">
        <v>598789</v>
      </c>
      <c r="S36" s="31">
        <v>598789</v>
      </c>
      <c r="T36" s="11">
        <v>598789</v>
      </c>
      <c r="U36" s="11">
        <v>598789</v>
      </c>
      <c r="V36" s="30">
        <v>390730</v>
      </c>
      <c r="W36" s="31">
        <v>390730</v>
      </c>
      <c r="X36" s="11">
        <v>390730</v>
      </c>
      <c r="Y36" s="11">
        <v>390730</v>
      </c>
      <c r="Z36" s="30">
        <v>364757</v>
      </c>
      <c r="AA36" s="31">
        <v>364757</v>
      </c>
      <c r="AB36" s="11">
        <v>364757</v>
      </c>
      <c r="AC36" s="11">
        <v>364757</v>
      </c>
      <c r="AD36" s="30">
        <v>334898</v>
      </c>
      <c r="AE36" s="31">
        <v>334898</v>
      </c>
      <c r="AF36" s="11">
        <v>334898</v>
      </c>
      <c r="AG36" s="11">
        <v>334898</v>
      </c>
      <c r="AH36" s="30">
        <v>247992</v>
      </c>
      <c r="AI36" s="31">
        <v>247992</v>
      </c>
      <c r="AJ36" s="11">
        <v>247992</v>
      </c>
      <c r="AK36" s="11">
        <v>247992</v>
      </c>
      <c r="AL36" s="30">
        <v>212554</v>
      </c>
      <c r="AM36" s="31">
        <v>212554</v>
      </c>
      <c r="AN36" s="11">
        <v>212554</v>
      </c>
      <c r="AO36" s="11">
        <v>212554</v>
      </c>
      <c r="AP36" s="30">
        <v>212554</v>
      </c>
    </row>
    <row r="37" spans="2:42" s="1" customFormat="1">
      <c r="B37" s="9" t="s">
        <v>53</v>
      </c>
      <c r="C37" s="149">
        <v>-11788</v>
      </c>
      <c r="D37" s="157">
        <v>-11443</v>
      </c>
      <c r="E37" s="77">
        <v>-10670</v>
      </c>
      <c r="F37" s="11">
        <v>-9257</v>
      </c>
      <c r="G37" s="31">
        <v>-4074</v>
      </c>
      <c r="H37" s="11">
        <v>-7729</v>
      </c>
      <c r="I37" s="11">
        <v>-5246</v>
      </c>
      <c r="J37" s="30">
        <v>-7094</v>
      </c>
      <c r="K37" s="31">
        <v>-6595</v>
      </c>
      <c r="L37" s="11">
        <v>-584</v>
      </c>
      <c r="M37" s="11">
        <v>-3662</v>
      </c>
      <c r="N37" s="30">
        <v>-470</v>
      </c>
      <c r="O37" s="31">
        <v>40</v>
      </c>
      <c r="P37" s="11">
        <v>6640</v>
      </c>
      <c r="Q37" s="11">
        <v>1970</v>
      </c>
      <c r="R37" s="30">
        <v>668</v>
      </c>
      <c r="S37" s="31">
        <v>-449</v>
      </c>
      <c r="T37" s="11">
        <v>-256</v>
      </c>
      <c r="U37" s="11">
        <v>-1572</v>
      </c>
      <c r="V37" s="30">
        <v>315</v>
      </c>
      <c r="W37" s="31">
        <v>9</v>
      </c>
      <c r="X37" s="11">
        <v>-1475</v>
      </c>
      <c r="Y37" s="11">
        <v>-1623</v>
      </c>
      <c r="Z37" s="30">
        <v>-218</v>
      </c>
      <c r="AA37" s="31">
        <v>-23637</v>
      </c>
      <c r="AB37" s="11">
        <v>-20672</v>
      </c>
      <c r="AC37" s="11">
        <v>-23984</v>
      </c>
      <c r="AD37" s="30">
        <v>-21898</v>
      </c>
      <c r="AE37" s="31">
        <v>-21479</v>
      </c>
      <c r="AF37" s="11">
        <v>-24674</v>
      </c>
      <c r="AG37" s="11">
        <v>-17360</v>
      </c>
      <c r="AH37" s="30">
        <v>-17398</v>
      </c>
      <c r="AI37" s="31">
        <v>-15906</v>
      </c>
      <c r="AJ37" s="11">
        <v>-11553</v>
      </c>
      <c r="AK37" s="11">
        <v>-11668</v>
      </c>
      <c r="AL37" s="30">
        <v>-10268</v>
      </c>
      <c r="AM37" s="31">
        <v>-4945</v>
      </c>
      <c r="AN37" s="11">
        <v>-3659</v>
      </c>
      <c r="AO37" s="11">
        <v>954</v>
      </c>
      <c r="AP37" s="30">
        <v>-1231</v>
      </c>
    </row>
    <row r="38" spans="2:42" s="1" customFormat="1">
      <c r="B38" s="9" t="s">
        <v>54</v>
      </c>
      <c r="C38" s="150">
        <v>659484</v>
      </c>
      <c r="D38" s="173">
        <v>478585</v>
      </c>
      <c r="E38" s="77">
        <v>425364</v>
      </c>
      <c r="F38" s="11">
        <v>1064441</v>
      </c>
      <c r="G38" s="31">
        <v>870495</v>
      </c>
      <c r="H38" s="11">
        <v>680468</v>
      </c>
      <c r="I38" s="11">
        <v>476570</v>
      </c>
      <c r="J38" s="30">
        <v>1103374</v>
      </c>
      <c r="K38" s="31">
        <v>800606</v>
      </c>
      <c r="L38" s="11">
        <v>551557</v>
      </c>
      <c r="M38" s="11">
        <v>430430</v>
      </c>
      <c r="N38" s="30">
        <v>1073811</v>
      </c>
      <c r="O38" s="31">
        <v>770997</v>
      </c>
      <c r="P38" s="11">
        <v>720691</v>
      </c>
      <c r="Q38" s="11">
        <v>484472</v>
      </c>
      <c r="R38" s="30">
        <v>492382</v>
      </c>
      <c r="S38" s="31">
        <v>239743</v>
      </c>
      <c r="T38" s="11">
        <v>171224</v>
      </c>
      <c r="U38" s="11">
        <v>66919</v>
      </c>
      <c r="V38" s="30">
        <v>509140</v>
      </c>
      <c r="W38" s="31">
        <v>420089</v>
      </c>
      <c r="X38" s="11">
        <v>379858</v>
      </c>
      <c r="Y38" s="11">
        <v>311461</v>
      </c>
      <c r="Z38" s="30">
        <v>248116</v>
      </c>
      <c r="AA38" s="31">
        <v>72147</v>
      </c>
      <c r="AB38" s="11">
        <v>35109</v>
      </c>
      <c r="AC38" s="11">
        <v>19602</v>
      </c>
      <c r="AD38" s="30">
        <v>65023</v>
      </c>
      <c r="AE38" s="31">
        <v>64260</v>
      </c>
      <c r="AF38" s="11">
        <v>101371</v>
      </c>
      <c r="AG38" s="11">
        <v>104275</v>
      </c>
      <c r="AH38" s="30">
        <v>150266</v>
      </c>
      <c r="AI38" s="31">
        <v>90779</v>
      </c>
      <c r="AJ38" s="11">
        <v>58506</v>
      </c>
      <c r="AK38" s="11">
        <v>27164</v>
      </c>
      <c r="AL38" s="30">
        <v>81447</v>
      </c>
      <c r="AM38" s="31">
        <v>70807</v>
      </c>
      <c r="AN38" s="11">
        <v>20385</v>
      </c>
      <c r="AO38" s="11">
        <v>16147</v>
      </c>
      <c r="AP38" s="30">
        <v>24959</v>
      </c>
    </row>
    <row r="39" spans="2:42" s="1" customFormat="1">
      <c r="B39" s="62" t="s">
        <v>55</v>
      </c>
      <c r="C39" s="152">
        <v>1999640</v>
      </c>
      <c r="D39" s="159">
        <f t="shared" ref="D39:I39" si="16">SUM(D34:D38)</f>
        <v>1818253</v>
      </c>
      <c r="E39" s="63">
        <f t="shared" si="16"/>
        <v>1762980</v>
      </c>
      <c r="F39" s="63">
        <f t="shared" si="16"/>
        <v>2193883</v>
      </c>
      <c r="G39" s="70">
        <f t="shared" si="16"/>
        <v>2003521</v>
      </c>
      <c r="H39" s="63">
        <f t="shared" si="16"/>
        <v>1808359</v>
      </c>
      <c r="I39" s="63">
        <f t="shared" si="16"/>
        <v>1604898</v>
      </c>
      <c r="J39" s="69">
        <f t="shared" ref="J39:AP39" si="17">SUM(J34:J38)</f>
        <v>2038497</v>
      </c>
      <c r="K39" s="70">
        <f t="shared" si="17"/>
        <v>1734663</v>
      </c>
      <c r="L39" s="63">
        <f t="shared" si="17"/>
        <v>1477085</v>
      </c>
      <c r="M39" s="63">
        <f t="shared" si="17"/>
        <v>1352880</v>
      </c>
      <c r="N39" s="69">
        <f t="shared" si="17"/>
        <v>1808373</v>
      </c>
      <c r="O39" s="70">
        <f t="shared" si="17"/>
        <v>1506069</v>
      </c>
      <c r="P39" s="63">
        <f t="shared" si="17"/>
        <v>1462363</v>
      </c>
      <c r="Q39" s="63">
        <f t="shared" si="17"/>
        <v>1221474</v>
      </c>
      <c r="R39" s="69">
        <f t="shared" si="17"/>
        <v>1169316</v>
      </c>
      <c r="S39" s="70">
        <f t="shared" si="17"/>
        <v>915560</v>
      </c>
      <c r="T39" s="63">
        <f t="shared" si="17"/>
        <v>847234</v>
      </c>
      <c r="U39" s="63">
        <f t="shared" si="17"/>
        <v>741613</v>
      </c>
      <c r="V39" s="69">
        <f t="shared" si="17"/>
        <v>977662</v>
      </c>
      <c r="W39" s="70">
        <f t="shared" si="17"/>
        <v>888305</v>
      </c>
      <c r="X39" s="63">
        <f t="shared" si="17"/>
        <v>846590</v>
      </c>
      <c r="Y39" s="63">
        <f t="shared" si="17"/>
        <v>778045</v>
      </c>
      <c r="Z39" s="69">
        <f t="shared" si="17"/>
        <v>690132</v>
      </c>
      <c r="AA39" s="70">
        <f t="shared" si="17"/>
        <v>490744</v>
      </c>
      <c r="AB39" s="63">
        <f t="shared" si="17"/>
        <v>456671</v>
      </c>
      <c r="AC39" s="63">
        <f t="shared" si="17"/>
        <v>437852</v>
      </c>
      <c r="AD39" s="69">
        <f t="shared" si="17"/>
        <v>455500</v>
      </c>
      <c r="AE39" s="70">
        <f t="shared" si="17"/>
        <v>455156</v>
      </c>
      <c r="AF39" s="63">
        <f t="shared" si="17"/>
        <v>489072</v>
      </c>
      <c r="AG39" s="63">
        <f t="shared" si="17"/>
        <v>499290</v>
      </c>
      <c r="AH39" s="69">
        <f t="shared" si="17"/>
        <v>458337</v>
      </c>
      <c r="AI39" s="70">
        <f t="shared" si="17"/>
        <v>400342</v>
      </c>
      <c r="AJ39" s="63">
        <f t="shared" si="17"/>
        <v>372422</v>
      </c>
      <c r="AK39" s="63">
        <f t="shared" si="17"/>
        <v>340965</v>
      </c>
      <c r="AL39" s="69">
        <f t="shared" si="17"/>
        <v>361210</v>
      </c>
      <c r="AM39" s="70">
        <f t="shared" si="17"/>
        <v>355893</v>
      </c>
      <c r="AN39" s="63">
        <f t="shared" si="17"/>
        <v>306757</v>
      </c>
      <c r="AO39" s="63">
        <f t="shared" si="17"/>
        <v>307132</v>
      </c>
      <c r="AP39" s="69">
        <f t="shared" si="17"/>
        <v>313759</v>
      </c>
    </row>
    <row r="40" spans="2:42" s="1" customFormat="1">
      <c r="B40" s="62" t="s">
        <v>107</v>
      </c>
      <c r="C40" s="153">
        <v>857</v>
      </c>
      <c r="D40" s="85">
        <v>847</v>
      </c>
      <c r="E40" s="86">
        <v>227</v>
      </c>
      <c r="F40" s="63">
        <v>232</v>
      </c>
      <c r="G40" s="70">
        <v>120</v>
      </c>
      <c r="H40" s="63">
        <v>143</v>
      </c>
      <c r="I40" s="63">
        <v>212</v>
      </c>
      <c r="J40" s="69">
        <v>249</v>
      </c>
      <c r="K40" s="70">
        <v>0</v>
      </c>
      <c r="L40" s="63">
        <v>0</v>
      </c>
      <c r="M40" s="63">
        <v>0</v>
      </c>
      <c r="N40" s="69">
        <v>0</v>
      </c>
      <c r="O40" s="70">
        <v>0</v>
      </c>
      <c r="P40" s="63">
        <v>0</v>
      </c>
      <c r="Q40" s="63">
        <v>0</v>
      </c>
      <c r="R40" s="69">
        <v>0</v>
      </c>
      <c r="S40" s="70">
        <v>0</v>
      </c>
      <c r="T40" s="63">
        <v>0</v>
      </c>
      <c r="U40" s="63">
        <v>0</v>
      </c>
      <c r="V40" s="69">
        <v>0</v>
      </c>
      <c r="W40" s="70">
        <v>0</v>
      </c>
      <c r="X40" s="63">
        <v>0</v>
      </c>
      <c r="Y40" s="63">
        <v>0</v>
      </c>
      <c r="Z40" s="69">
        <v>0</v>
      </c>
      <c r="AA40" s="70">
        <v>0</v>
      </c>
      <c r="AB40" s="63">
        <v>0</v>
      </c>
      <c r="AC40" s="63">
        <v>0</v>
      </c>
      <c r="AD40" s="69">
        <v>0</v>
      </c>
      <c r="AE40" s="70">
        <v>0</v>
      </c>
      <c r="AF40" s="63">
        <v>0</v>
      </c>
      <c r="AG40" s="63">
        <v>0</v>
      </c>
      <c r="AH40" s="69">
        <v>0</v>
      </c>
      <c r="AI40" s="70">
        <v>0</v>
      </c>
      <c r="AJ40" s="63">
        <v>0</v>
      </c>
      <c r="AK40" s="63">
        <v>0</v>
      </c>
      <c r="AL40" s="69">
        <v>0</v>
      </c>
      <c r="AM40" s="70">
        <v>0</v>
      </c>
      <c r="AN40" s="63">
        <v>0</v>
      </c>
      <c r="AO40" s="63">
        <v>0</v>
      </c>
      <c r="AP40" s="69">
        <v>0</v>
      </c>
    </row>
    <row r="41" spans="2:42" s="1" customFormat="1">
      <c r="B41" s="62" t="s">
        <v>56</v>
      </c>
      <c r="C41" s="152">
        <v>2000497</v>
      </c>
      <c r="D41" s="159">
        <f>D39+D40</f>
        <v>1819100</v>
      </c>
      <c r="E41" s="63">
        <f>E39+E40</f>
        <v>1763207</v>
      </c>
      <c r="F41" s="63">
        <f>F39+F40</f>
        <v>2194115</v>
      </c>
      <c r="G41" s="70">
        <f>G39+G40</f>
        <v>2003641</v>
      </c>
      <c r="H41" s="63">
        <f>H39+H40</f>
        <v>1808502</v>
      </c>
      <c r="I41" s="63">
        <f t="shared" ref="I41:AP41" si="18">I39+I40</f>
        <v>1605110</v>
      </c>
      <c r="J41" s="69">
        <f t="shared" si="18"/>
        <v>2038746</v>
      </c>
      <c r="K41" s="70">
        <f t="shared" si="18"/>
        <v>1734663</v>
      </c>
      <c r="L41" s="63">
        <f t="shared" si="18"/>
        <v>1477085</v>
      </c>
      <c r="M41" s="63">
        <f t="shared" si="18"/>
        <v>1352880</v>
      </c>
      <c r="N41" s="69">
        <f t="shared" si="18"/>
        <v>1808373</v>
      </c>
      <c r="O41" s="70">
        <f t="shared" si="18"/>
        <v>1506069</v>
      </c>
      <c r="P41" s="63">
        <f t="shared" si="18"/>
        <v>1462363</v>
      </c>
      <c r="Q41" s="63">
        <f t="shared" si="18"/>
        <v>1221474</v>
      </c>
      <c r="R41" s="69">
        <f t="shared" si="18"/>
        <v>1169316</v>
      </c>
      <c r="S41" s="70">
        <f t="shared" si="18"/>
        <v>915560</v>
      </c>
      <c r="T41" s="63">
        <f t="shared" si="18"/>
        <v>847234</v>
      </c>
      <c r="U41" s="63">
        <f t="shared" si="18"/>
        <v>741613</v>
      </c>
      <c r="V41" s="69">
        <f t="shared" si="18"/>
        <v>977662</v>
      </c>
      <c r="W41" s="70">
        <f t="shared" si="18"/>
        <v>888305</v>
      </c>
      <c r="X41" s="63">
        <f t="shared" si="18"/>
        <v>846590</v>
      </c>
      <c r="Y41" s="63">
        <f t="shared" si="18"/>
        <v>778045</v>
      </c>
      <c r="Z41" s="69">
        <f t="shared" si="18"/>
        <v>690132</v>
      </c>
      <c r="AA41" s="70">
        <f t="shared" si="18"/>
        <v>490744</v>
      </c>
      <c r="AB41" s="63">
        <f t="shared" si="18"/>
        <v>456671</v>
      </c>
      <c r="AC41" s="63">
        <f t="shared" si="18"/>
        <v>437852</v>
      </c>
      <c r="AD41" s="69">
        <f t="shared" si="18"/>
        <v>455500</v>
      </c>
      <c r="AE41" s="70">
        <f t="shared" si="18"/>
        <v>455156</v>
      </c>
      <c r="AF41" s="63">
        <f t="shared" si="18"/>
        <v>489072</v>
      </c>
      <c r="AG41" s="63">
        <f t="shared" si="18"/>
        <v>499290</v>
      </c>
      <c r="AH41" s="69">
        <f t="shared" si="18"/>
        <v>458337</v>
      </c>
      <c r="AI41" s="70">
        <f t="shared" si="18"/>
        <v>400342</v>
      </c>
      <c r="AJ41" s="63">
        <f t="shared" si="18"/>
        <v>372422</v>
      </c>
      <c r="AK41" s="63">
        <f t="shared" si="18"/>
        <v>340965</v>
      </c>
      <c r="AL41" s="69">
        <f t="shared" si="18"/>
        <v>361210</v>
      </c>
      <c r="AM41" s="70">
        <f t="shared" si="18"/>
        <v>355893</v>
      </c>
      <c r="AN41" s="63">
        <f t="shared" si="18"/>
        <v>306757</v>
      </c>
      <c r="AO41" s="63">
        <f t="shared" si="18"/>
        <v>307132</v>
      </c>
      <c r="AP41" s="69">
        <f t="shared" si="18"/>
        <v>313759</v>
      </c>
    </row>
    <row r="42" spans="2:42" s="1" customFormat="1">
      <c r="B42" s="60"/>
      <c r="C42" s="151"/>
      <c r="D42" s="179"/>
      <c r="E42" s="64"/>
      <c r="F42" s="64"/>
      <c r="G42" s="72"/>
      <c r="H42" s="64"/>
      <c r="I42" s="64"/>
      <c r="J42" s="71"/>
      <c r="K42" s="72"/>
      <c r="L42" s="64"/>
      <c r="M42" s="64"/>
      <c r="N42" s="71"/>
      <c r="O42" s="72"/>
      <c r="P42" s="64"/>
      <c r="Q42" s="64"/>
      <c r="R42" s="71"/>
      <c r="S42" s="72"/>
      <c r="T42" s="64"/>
      <c r="U42" s="64"/>
      <c r="V42" s="71"/>
      <c r="W42" s="72"/>
      <c r="X42" s="64"/>
      <c r="Y42" s="64"/>
      <c r="Z42" s="71"/>
      <c r="AA42" s="72"/>
      <c r="AB42" s="64"/>
      <c r="AC42" s="64"/>
      <c r="AD42" s="71"/>
      <c r="AE42" s="72"/>
      <c r="AF42" s="64"/>
      <c r="AG42" s="64"/>
      <c r="AH42" s="71"/>
      <c r="AI42" s="72"/>
      <c r="AJ42" s="64"/>
      <c r="AK42" s="64"/>
      <c r="AL42" s="71"/>
      <c r="AM42" s="72"/>
      <c r="AN42" s="64"/>
      <c r="AO42" s="64"/>
      <c r="AP42" s="71"/>
    </row>
    <row r="43" spans="2:42" s="1" customFormat="1">
      <c r="B43" s="62" t="s">
        <v>57</v>
      </c>
      <c r="C43" s="152">
        <v>9086667</v>
      </c>
      <c r="D43" s="159">
        <f t="shared" ref="D43" si="19">D41+D31</f>
        <v>8327538</v>
      </c>
      <c r="E43" s="63">
        <f t="shared" ref="E43:F43" si="20">E41+E31</f>
        <v>7316422</v>
      </c>
      <c r="F43" s="63">
        <f t="shared" si="20"/>
        <v>7463817</v>
      </c>
      <c r="G43" s="70">
        <f t="shared" ref="G43" si="21">G41+G31</f>
        <v>6645632</v>
      </c>
      <c r="H43" s="63">
        <f t="shared" ref="H43" si="22">H41+H31</f>
        <v>5737812</v>
      </c>
      <c r="I43" s="63">
        <f t="shared" ref="I43:AH43" si="23">I41+I31</f>
        <v>5197507</v>
      </c>
      <c r="J43" s="69">
        <f t="shared" si="23"/>
        <v>5375573</v>
      </c>
      <c r="K43" s="70">
        <f t="shared" si="23"/>
        <v>4688658</v>
      </c>
      <c r="L43" s="63">
        <f t="shared" si="23"/>
        <v>4403363</v>
      </c>
      <c r="M43" s="63">
        <f t="shared" si="23"/>
        <v>4662942</v>
      </c>
      <c r="N43" s="69">
        <f t="shared" si="23"/>
        <v>4514440</v>
      </c>
      <c r="O43" s="70">
        <f t="shared" si="23"/>
        <v>4114323</v>
      </c>
      <c r="P43" s="63">
        <f t="shared" si="23"/>
        <v>4176511</v>
      </c>
      <c r="Q43" s="63">
        <f t="shared" si="23"/>
        <v>3678167</v>
      </c>
      <c r="R43" s="69">
        <f t="shared" si="23"/>
        <v>3626672</v>
      </c>
      <c r="S43" s="70">
        <f t="shared" si="23"/>
        <v>3147743</v>
      </c>
      <c r="T43" s="63">
        <f t="shared" si="23"/>
        <v>2979417</v>
      </c>
      <c r="U43" s="63">
        <f t="shared" si="23"/>
        <v>2720700</v>
      </c>
      <c r="V43" s="69">
        <f t="shared" si="23"/>
        <v>2813364</v>
      </c>
      <c r="W43" s="70">
        <f t="shared" si="23"/>
        <v>2283526</v>
      </c>
      <c r="X43" s="63">
        <f t="shared" si="23"/>
        <v>1942981</v>
      </c>
      <c r="Y43" s="63">
        <f t="shared" si="23"/>
        <v>1776845</v>
      </c>
      <c r="Z43" s="69">
        <f t="shared" si="23"/>
        <v>1506293</v>
      </c>
      <c r="AA43" s="70">
        <f t="shared" si="23"/>
        <v>1138900</v>
      </c>
      <c r="AB43" s="63">
        <f t="shared" si="23"/>
        <v>1106757</v>
      </c>
      <c r="AC43" s="63">
        <f t="shared" si="23"/>
        <v>1027568</v>
      </c>
      <c r="AD43" s="69">
        <f t="shared" si="23"/>
        <v>1022614</v>
      </c>
      <c r="AE43" s="70">
        <f t="shared" si="23"/>
        <v>970074</v>
      </c>
      <c r="AF43" s="63">
        <f t="shared" si="23"/>
        <v>972007</v>
      </c>
      <c r="AG43" s="63">
        <f t="shared" si="23"/>
        <v>979385</v>
      </c>
      <c r="AH43" s="69">
        <f t="shared" si="23"/>
        <v>919848</v>
      </c>
      <c r="AI43" s="70">
        <f>AI31+AI41</f>
        <v>897704</v>
      </c>
      <c r="AJ43" s="63">
        <f t="shared" ref="AJ43:AL43" si="24">AJ31+AJ41</f>
        <v>901898</v>
      </c>
      <c r="AK43" s="63">
        <f t="shared" si="24"/>
        <v>862908</v>
      </c>
      <c r="AL43" s="69">
        <f t="shared" si="24"/>
        <v>848354</v>
      </c>
      <c r="AM43" s="70">
        <f>AM31+AM41</f>
        <v>796753</v>
      </c>
      <c r="AN43" s="63">
        <f t="shared" ref="AN43:AP43" si="25">AN31+AN41</f>
        <v>693644</v>
      </c>
      <c r="AO43" s="63">
        <f t="shared" si="25"/>
        <v>671269</v>
      </c>
      <c r="AP43" s="69">
        <f t="shared" si="25"/>
        <v>717308</v>
      </c>
    </row>
    <row r="44" spans="2:42" s="1" customFormat="1" ht="6.75" customHeight="1">
      <c r="B44" s="20"/>
      <c r="C44" s="20"/>
      <c r="D44" s="20"/>
      <c r="E44" s="20"/>
      <c r="F44" s="20"/>
      <c r="G44" s="20"/>
      <c r="H44" s="20"/>
      <c r="I44" s="20"/>
      <c r="J44" s="20"/>
      <c r="K44" s="20"/>
      <c r="L44" s="20"/>
      <c r="M44" s="20"/>
      <c r="N44" s="20"/>
      <c r="O44" s="20"/>
      <c r="P44" s="21"/>
      <c r="Q44" s="21"/>
      <c r="R44" s="21"/>
      <c r="S44" s="21"/>
      <c r="T44" s="20"/>
    </row>
    <row r="45" spans="2:42" s="1" customFormat="1" ht="14.25" customHeight="1">
      <c r="B45" s="22" t="s">
        <v>110</v>
      </c>
      <c r="C45" s="22"/>
      <c r="D45" s="22"/>
      <c r="E45" s="22"/>
      <c r="F45" s="22"/>
      <c r="G45" s="22"/>
      <c r="H45" s="22"/>
      <c r="I45" s="22"/>
      <c r="J45" s="22"/>
      <c r="K45" s="22"/>
      <c r="L45" s="22"/>
      <c r="M45" s="22"/>
      <c r="N45" s="22"/>
      <c r="O45" s="22"/>
    </row>
    <row r="46" spans="2:42" s="1" customFormat="1">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row>
    <row r="47" spans="2:42" s="1" customFormat="1" ht="18">
      <c r="B47" s="82" t="s">
        <v>138</v>
      </c>
      <c r="C47" s="82"/>
      <c r="D47" s="82"/>
    </row>
    <row r="48" spans="2:42" s="1" customFormat="1">
      <c r="B48" s="164" t="s">
        <v>58</v>
      </c>
      <c r="C48" s="96"/>
      <c r="D48" s="95"/>
      <c r="E48" s="3"/>
      <c r="F48" s="3"/>
      <c r="G48" s="66"/>
      <c r="H48" s="3"/>
      <c r="I48" s="3"/>
      <c r="J48" s="65"/>
      <c r="K48" s="66"/>
      <c r="L48" s="3"/>
      <c r="M48" s="3"/>
      <c r="N48" s="65"/>
      <c r="O48" s="66"/>
      <c r="P48" s="3"/>
      <c r="Q48" s="3"/>
      <c r="R48" s="65"/>
      <c r="S48" s="66"/>
      <c r="T48" s="3"/>
      <c r="U48" s="3"/>
      <c r="V48" s="65"/>
      <c r="W48" s="66"/>
      <c r="X48" s="3"/>
      <c r="Y48" s="3"/>
      <c r="Z48" s="65"/>
      <c r="AA48" s="66"/>
      <c r="AB48" s="3"/>
      <c r="AC48" s="3"/>
      <c r="AD48" s="65"/>
      <c r="AE48" s="66"/>
      <c r="AF48" s="3"/>
      <c r="AG48" s="3"/>
      <c r="AH48" s="65"/>
      <c r="AI48" s="66"/>
      <c r="AJ48" s="3"/>
      <c r="AK48" s="3"/>
      <c r="AL48" s="65"/>
      <c r="AM48" s="66"/>
      <c r="AN48" s="3"/>
      <c r="AO48" s="3"/>
      <c r="AP48" s="65"/>
    </row>
    <row r="49" spans="2:42" s="1" customFormat="1">
      <c r="B49" s="165"/>
      <c r="C49" s="148">
        <v>46022</v>
      </c>
      <c r="D49" s="59">
        <v>45930</v>
      </c>
      <c r="E49" s="59">
        <v>45838</v>
      </c>
      <c r="F49" s="59">
        <v>45747</v>
      </c>
      <c r="G49" s="68">
        <v>45657</v>
      </c>
      <c r="H49" s="59">
        <v>45565</v>
      </c>
      <c r="I49" s="59">
        <v>45473</v>
      </c>
      <c r="J49" s="67">
        <v>45382</v>
      </c>
      <c r="K49" s="68">
        <v>45291</v>
      </c>
      <c r="L49" s="59">
        <v>45199</v>
      </c>
      <c r="M49" s="59">
        <v>45107</v>
      </c>
      <c r="N49" s="67">
        <v>45016</v>
      </c>
      <c r="O49" s="68">
        <v>44926</v>
      </c>
      <c r="P49" s="59">
        <v>44834</v>
      </c>
      <c r="Q49" s="59">
        <v>44742</v>
      </c>
      <c r="R49" s="67">
        <v>44651</v>
      </c>
      <c r="S49" s="68">
        <v>44561</v>
      </c>
      <c r="T49" s="59">
        <v>44469</v>
      </c>
      <c r="U49" s="59">
        <v>44377</v>
      </c>
      <c r="V49" s="67">
        <v>44286</v>
      </c>
      <c r="W49" s="68">
        <v>44196</v>
      </c>
      <c r="X49" s="59">
        <v>44104</v>
      </c>
      <c r="Y49" s="59">
        <v>44012</v>
      </c>
      <c r="Z49" s="67">
        <v>43921</v>
      </c>
      <c r="AA49" s="68">
        <v>43830</v>
      </c>
      <c r="AB49" s="59">
        <v>43738</v>
      </c>
      <c r="AC49" s="59">
        <v>43646</v>
      </c>
      <c r="AD49" s="67">
        <v>43555</v>
      </c>
      <c r="AE49" s="68">
        <v>43465</v>
      </c>
      <c r="AF49" s="59">
        <v>43373</v>
      </c>
      <c r="AG49" s="59">
        <v>43281</v>
      </c>
      <c r="AH49" s="67">
        <v>43190</v>
      </c>
      <c r="AI49" s="68">
        <v>43100</v>
      </c>
      <c r="AJ49" s="59">
        <v>43008</v>
      </c>
      <c r="AK49" s="59">
        <v>42916</v>
      </c>
      <c r="AL49" s="67">
        <v>42825</v>
      </c>
      <c r="AM49" s="68" t="s">
        <v>8</v>
      </c>
      <c r="AN49" s="59">
        <v>42643</v>
      </c>
      <c r="AO49" s="59">
        <v>42551</v>
      </c>
      <c r="AP49" s="67">
        <v>42460</v>
      </c>
    </row>
    <row r="50" spans="2:42" s="1" customFormat="1">
      <c r="B50" s="79" t="s">
        <v>157</v>
      </c>
      <c r="C50" s="161">
        <v>12654451.354900422</v>
      </c>
      <c r="D50" s="157">
        <v>14257662.247950589</v>
      </c>
      <c r="E50" s="157">
        <v>11656147.964899939</v>
      </c>
      <c r="F50" s="157">
        <v>10627573.420379616</v>
      </c>
      <c r="G50" s="155">
        <v>10027358.042820022</v>
      </c>
      <c r="H50" s="157">
        <v>9610214.1233200915</v>
      </c>
      <c r="I50" s="157">
        <v>9287008.7541299462</v>
      </c>
      <c r="J50" s="156">
        <v>10029329.885759864</v>
      </c>
      <c r="K50" s="155">
        <v>8911488.3271801174</v>
      </c>
      <c r="L50" s="157">
        <v>10006795.188260162</v>
      </c>
      <c r="M50" s="157">
        <v>9660507.7913100626</v>
      </c>
      <c r="N50" s="156">
        <v>8533193.9818101525</v>
      </c>
      <c r="O50" s="155">
        <v>7353831.6506899381</v>
      </c>
      <c r="P50" s="157">
        <v>7337792.8166499157</v>
      </c>
      <c r="Q50" s="157">
        <v>8018138</v>
      </c>
      <c r="R50" s="156">
        <v>7261720.4460300766</v>
      </c>
      <c r="S50" s="155">
        <v>7857897.2538900189</v>
      </c>
      <c r="T50" s="157">
        <v>8679456.1090000737</v>
      </c>
      <c r="U50" s="157">
        <v>8940801.9807099644</v>
      </c>
      <c r="V50" s="156">
        <v>9944036.3695208244</v>
      </c>
      <c r="W50" s="155">
        <v>6743974.2895833757</v>
      </c>
      <c r="X50" s="157">
        <v>4734719.3833500268</v>
      </c>
      <c r="Y50" s="157">
        <v>3993631</v>
      </c>
      <c r="Z50" s="156">
        <v>2311786</v>
      </c>
      <c r="AA50" s="155">
        <v>4435351</v>
      </c>
      <c r="AB50" s="157">
        <v>4165617</v>
      </c>
      <c r="AC50" s="157">
        <v>3802428</v>
      </c>
      <c r="AD50" s="156">
        <v>3323030</v>
      </c>
      <c r="AE50" s="155">
        <v>2569397</v>
      </c>
      <c r="AF50" s="157">
        <v>2803049</v>
      </c>
      <c r="AG50" s="157">
        <v>3474348</v>
      </c>
      <c r="AH50" s="156">
        <v>3349389</v>
      </c>
      <c r="AI50" s="155">
        <v>3946555</v>
      </c>
      <c r="AJ50" s="157">
        <v>4260879</v>
      </c>
      <c r="AK50" s="157">
        <v>4036053</v>
      </c>
      <c r="AL50" s="156">
        <v>3886228</v>
      </c>
      <c r="AM50" s="155">
        <v>3071955</v>
      </c>
      <c r="AN50" s="157">
        <v>2733931</v>
      </c>
      <c r="AO50" s="157">
        <v>1923974</v>
      </c>
      <c r="AP50" s="156">
        <v>2052475</v>
      </c>
    </row>
    <row r="51" spans="2:42" s="1" customFormat="1">
      <c r="B51" s="79" t="s">
        <v>158</v>
      </c>
      <c r="C51" s="161">
        <v>27283557</v>
      </c>
      <c r="D51" s="157">
        <v>23802311</v>
      </c>
      <c r="E51" s="157">
        <v>19355412</v>
      </c>
      <c r="F51" s="157">
        <v>15456875</v>
      </c>
      <c r="G51" s="155">
        <v>13681597</v>
      </c>
      <c r="H51" s="157">
        <v>9501739</v>
      </c>
      <c r="I51" s="157">
        <v>9501739</v>
      </c>
      <c r="J51" s="156">
        <v>7806590</v>
      </c>
      <c r="K51" s="155">
        <v>6147595</v>
      </c>
      <c r="L51" s="157">
        <v>4883709</v>
      </c>
      <c r="M51" s="157">
        <v>4883709</v>
      </c>
      <c r="N51" s="156">
        <v>4298087</v>
      </c>
      <c r="O51" s="155">
        <v>3445397</v>
      </c>
      <c r="P51" s="157">
        <v>3182772</v>
      </c>
      <c r="Q51" s="157">
        <v>2890647</v>
      </c>
      <c r="R51" s="156">
        <v>2890346</v>
      </c>
      <c r="S51" s="155">
        <v>2452320</v>
      </c>
      <c r="T51" s="157">
        <v>1798815</v>
      </c>
      <c r="U51" s="157">
        <v>1798815</v>
      </c>
      <c r="V51" s="156">
        <v>1406920</v>
      </c>
      <c r="W51" s="155">
        <v>871596</v>
      </c>
      <c r="X51" s="157">
        <v>477320</v>
      </c>
      <c r="Y51" s="157">
        <v>385782</v>
      </c>
      <c r="Z51" s="156">
        <v>178019</v>
      </c>
      <c r="AA51" s="155">
        <v>109185</v>
      </c>
      <c r="AB51" s="157">
        <v>109185</v>
      </c>
      <c r="AC51" s="157">
        <v>83445</v>
      </c>
      <c r="AD51" s="156">
        <v>62348</v>
      </c>
      <c r="AE51" s="155">
        <v>37079</v>
      </c>
      <c r="AF51" s="157">
        <v>32190</v>
      </c>
      <c r="AG51" s="157">
        <v>16399</v>
      </c>
      <c r="AH51" s="156">
        <v>1890</v>
      </c>
      <c r="AI51" s="155">
        <v>412</v>
      </c>
      <c r="AJ51" s="157">
        <v>436</v>
      </c>
      <c r="AK51" s="157">
        <v>518</v>
      </c>
      <c r="AL51" s="156">
        <v>547</v>
      </c>
      <c r="AM51" s="155">
        <v>542</v>
      </c>
      <c r="AN51" s="157">
        <v>548</v>
      </c>
      <c r="AO51" s="157">
        <v>561</v>
      </c>
      <c r="AP51" s="156">
        <v>571</v>
      </c>
    </row>
    <row r="52" spans="2:42" s="1" customFormat="1">
      <c r="B52" s="79" t="s">
        <v>139</v>
      </c>
      <c r="C52" s="154">
        <v>5864393.2599999998</v>
      </c>
      <c r="D52" s="157">
        <v>5352306</v>
      </c>
      <c r="E52" s="157">
        <v>4584514</v>
      </c>
      <c r="F52" s="157">
        <v>4182768</v>
      </c>
      <c r="G52" s="155">
        <v>3751303</v>
      </c>
      <c r="H52" s="157">
        <v>3170770</v>
      </c>
      <c r="I52" s="157">
        <v>2769002</v>
      </c>
      <c r="J52" s="156">
        <v>2441023</v>
      </c>
      <c r="K52" s="155">
        <v>2266859</v>
      </c>
      <c r="L52" s="157">
        <v>2077824</v>
      </c>
      <c r="M52" s="157">
        <v>1961190</v>
      </c>
      <c r="N52" s="156">
        <v>1927341</v>
      </c>
      <c r="O52" s="155">
        <v>1938503</v>
      </c>
      <c r="P52" s="157">
        <v>1861750</v>
      </c>
      <c r="Q52" s="157">
        <v>1724274</v>
      </c>
      <c r="R52" s="156">
        <v>1888488</v>
      </c>
      <c r="S52" s="155">
        <v>1786869</v>
      </c>
      <c r="T52" s="157">
        <v>1601152</v>
      </c>
      <c r="U52" s="157">
        <v>1491530</v>
      </c>
      <c r="V52" s="156">
        <v>1345261</v>
      </c>
      <c r="W52" s="155">
        <v>1033602</v>
      </c>
      <c r="X52" s="157">
        <v>804052</v>
      </c>
      <c r="Y52" s="157">
        <v>746474</v>
      </c>
      <c r="Z52" s="156">
        <v>539388</v>
      </c>
      <c r="AA52" s="155">
        <v>470845</v>
      </c>
      <c r="AB52" s="157">
        <v>481203</v>
      </c>
      <c r="AC52" s="157">
        <v>443576</v>
      </c>
      <c r="AD52" s="156">
        <v>416699</v>
      </c>
      <c r="AE52" s="155">
        <v>363908</v>
      </c>
      <c r="AF52" s="157">
        <v>340127</v>
      </c>
      <c r="AG52" s="157">
        <v>336753</v>
      </c>
      <c r="AH52" s="156">
        <v>326372</v>
      </c>
      <c r="AI52" s="155">
        <v>378471</v>
      </c>
      <c r="AJ52" s="157">
        <v>462868</v>
      </c>
      <c r="AK52" s="157">
        <v>442963</v>
      </c>
      <c r="AL52" s="156">
        <v>406048</v>
      </c>
      <c r="AM52" s="155">
        <v>375642</v>
      </c>
      <c r="AN52" s="157">
        <v>335445</v>
      </c>
      <c r="AO52" s="157">
        <v>316961</v>
      </c>
      <c r="AP52" s="156">
        <v>315566</v>
      </c>
    </row>
    <row r="53" spans="2:42" s="1" customFormat="1">
      <c r="B53" s="85" t="s">
        <v>148</v>
      </c>
      <c r="C53" s="162">
        <v>45802401.614900418</v>
      </c>
      <c r="D53" s="159">
        <v>44346235</v>
      </c>
      <c r="E53" s="159">
        <v>35596073.964899942</v>
      </c>
      <c r="F53" s="159">
        <v>30267216.420379616</v>
      </c>
      <c r="G53" s="158">
        <v>27460258.042820022</v>
      </c>
      <c r="H53" s="159">
        <v>22282723.123320092</v>
      </c>
      <c r="I53" s="159">
        <v>21557749.754129946</v>
      </c>
      <c r="J53" s="160">
        <v>20276942.885759864</v>
      </c>
      <c r="K53" s="158">
        <v>17325942.327180117</v>
      </c>
      <c r="L53" s="159">
        <v>16968328.18826016</v>
      </c>
      <c r="M53" s="159">
        <v>16505406.791310063</v>
      </c>
      <c r="N53" s="160">
        <v>14758621.981810153</v>
      </c>
      <c r="O53" s="158">
        <v>12737731.650689937</v>
      </c>
      <c r="P53" s="159">
        <v>12382314.816649916</v>
      </c>
      <c r="Q53" s="159">
        <v>12633059</v>
      </c>
      <c r="R53" s="160">
        <v>12040554.446030077</v>
      </c>
      <c r="S53" s="158">
        <v>12097086.253890019</v>
      </c>
      <c r="T53" s="159">
        <v>12079423.109000074</v>
      </c>
      <c r="U53" s="159">
        <v>12231146.980709964</v>
      </c>
      <c r="V53" s="160">
        <v>12696217.369520824</v>
      </c>
      <c r="W53" s="158">
        <v>8649172.2895833757</v>
      </c>
      <c r="X53" s="159">
        <v>6016091.3833500268</v>
      </c>
      <c r="Y53" s="159">
        <v>5125887</v>
      </c>
      <c r="Z53" s="160">
        <v>3029193</v>
      </c>
      <c r="AA53" s="158">
        <v>5015381</v>
      </c>
      <c r="AB53" s="159">
        <v>4756005</v>
      </c>
      <c r="AC53" s="159">
        <v>4329449</v>
      </c>
      <c r="AD53" s="160">
        <v>3802077</v>
      </c>
      <c r="AE53" s="158">
        <v>2970384</v>
      </c>
      <c r="AF53" s="159">
        <v>3175366</v>
      </c>
      <c r="AG53" s="159">
        <v>3827500</v>
      </c>
      <c r="AH53" s="160">
        <v>3677651</v>
      </c>
      <c r="AI53" s="158">
        <v>4325438</v>
      </c>
      <c r="AJ53" s="159">
        <v>4724183</v>
      </c>
      <c r="AK53" s="159">
        <v>4479534</v>
      </c>
      <c r="AL53" s="160">
        <v>4292823</v>
      </c>
      <c r="AM53" s="158">
        <v>3448139</v>
      </c>
      <c r="AN53" s="159">
        <v>3069924</v>
      </c>
      <c r="AO53" s="159">
        <v>2241496</v>
      </c>
      <c r="AP53" s="160">
        <v>2368612</v>
      </c>
    </row>
    <row r="54" spans="2:42" s="1" customFormat="1"/>
    <row r="55" spans="2:42" s="1" customFormat="1"/>
    <row r="56" spans="2:42" s="1" customFormat="1"/>
    <row r="57" spans="2:42" s="1" customFormat="1"/>
    <row r="58" spans="2:42" s="1" customFormat="1"/>
    <row r="59" spans="2:42" s="1" customFormat="1"/>
    <row r="60" spans="2:42" s="1" customFormat="1"/>
    <row r="61" spans="2:42" s="1" customFormat="1"/>
    <row r="62" spans="2:42" s="1" customFormat="1"/>
    <row r="63" spans="2:42" s="1" customFormat="1"/>
    <row r="64" spans="2:42"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sheetData>
  <mergeCells count="3">
    <mergeCell ref="B1:T2"/>
    <mergeCell ref="B4:B5"/>
    <mergeCell ref="B48:B49"/>
  </mergeCells>
  <pageMargins left="0.70866141732283472" right="0.70866141732283472" top="0.74803149606299213" bottom="0.74803149606299213" header="0.31496062992125984" footer="0.31496062992125984"/>
  <pageSetup paperSize="9" scale="57" orientation="portrait" r:id="rId1"/>
  <colBreaks count="2" manualBreakCount="2">
    <brk id="17" min="4" max="44" man="1"/>
    <brk id="18" min="4"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INCOME STATEMENT-for the year</vt:lpstr>
      <vt:lpstr>STATEMENT OF FIN. POSITION-year</vt:lpstr>
      <vt:lpstr>INCOME STATEMENT-Q</vt:lpstr>
      <vt:lpstr>STATEMENT OF FIN. POSITION-Q</vt:lpstr>
      <vt:lpstr>'INCOME STATEMENT-for the year'!Obszar_wydruku</vt:lpstr>
      <vt:lpstr>'INCOME STATEMENT-Q'!Obszar_wydruku</vt:lpstr>
      <vt:lpstr>'STATEMENT OF FIN. POSITION-Q'!Obszar_wydruku</vt:lpstr>
      <vt:lpstr>'STATEMENT OF FIN. POSITION-year'!Obszar_wydruku</vt:lpstr>
    </vt:vector>
  </TitlesOfParts>
  <Company>X-Trade Brokers Dom Maklerski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Urszula Tanajewska</dc:creator>
  <cp:lastModifiedBy>Beata Kowalczyk</cp:lastModifiedBy>
  <cp:lastPrinted>2017-03-20T09:45:54Z</cp:lastPrinted>
  <dcterms:created xsi:type="dcterms:W3CDTF">2016-09-30T11:56:16Z</dcterms:created>
  <dcterms:modified xsi:type="dcterms:W3CDTF">2026-03-20T10:28:48Z</dcterms:modified>
</cp:coreProperties>
</file>