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6\Q1.2026\Raport\"/>
    </mc:Choice>
  </mc:AlternateContent>
  <xr:revisionPtr revIDLastSave="0" documentId="13_ncr:1_{09360793-16EE-466B-A263-7A89F6CBA342}" xr6:coauthVersionLast="47" xr6:coauthVersionMax="47" xr10:uidLastSave="{00000000-0000-0000-0000-000000000000}"/>
  <bookViews>
    <workbookView xWindow="-110" yWindow="-110" windowWidth="19420" windowHeight="10300" tabRatio="827" firstSheet="1" activeTab="2" xr2:uid="{00000000-000D-0000-FFFF-FFFF00000000}"/>
  </bookViews>
  <sheets>
    <sheet name="SPRAW. Z DOCH. CAŁK.-roczne" sheetId="2" r:id="rId1"/>
    <sheet name="SPRAW. Z SYT. FIN.-roczne" sheetId="3" r:id="rId2"/>
    <sheet name="SPRAW. Z DOCH. CAŁK.-kwartalnie" sheetId="1" r:id="rId3"/>
    <sheet name="SPRAW. Z SYT. FIN.-kwartalnie" sheetId="4" r:id="rId4"/>
  </sheets>
  <definedNames>
    <definedName name="_xlnm.Print_Area" localSheetId="2">'SPRAW. Z DOCH. CAŁK.-kwartalnie'!$B$5:$AQ$39</definedName>
    <definedName name="_xlnm.Print_Area" localSheetId="0">'SPRAW. Z DOCH. CAŁK.-roczne'!$B$5:$O$43</definedName>
    <definedName name="_xlnm.Print_Area" localSheetId="3">'SPRAW. Z SYT. FIN.-kwartalnie'!$B$5:$AQ$44</definedName>
    <definedName name="_xlnm.Print_Area" localSheetId="1">'SPRAW. Z SYT. FIN.-roczne'!$B$5:$O$46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4" l="1"/>
  <c r="C53" i="4" s="1"/>
  <c r="C52" i="4"/>
  <c r="C31" i="4"/>
  <c r="C19" i="4"/>
  <c r="C54" i="1"/>
  <c r="C6" i="1"/>
  <c r="D6" i="1"/>
  <c r="E54" i="1" l="1"/>
  <c r="E31" i="1"/>
  <c r="E16" i="1"/>
  <c r="E6" i="1"/>
  <c r="D54" i="3"/>
  <c r="D55" i="3" s="1"/>
  <c r="D40" i="3"/>
  <c r="D42" i="3" s="1"/>
  <c r="D32" i="3"/>
  <c r="D20" i="3"/>
  <c r="D54" i="2"/>
  <c r="D31" i="2"/>
  <c r="D16" i="2"/>
  <c r="D6" i="2"/>
  <c r="D52" i="4"/>
  <c r="D53" i="4" s="1"/>
  <c r="D19" i="4"/>
  <c r="D39" i="4"/>
  <c r="D41" i="4" s="1"/>
  <c r="D31" i="4"/>
  <c r="F16" i="1"/>
  <c r="D54" i="1"/>
  <c r="D31" i="1"/>
  <c r="D16" i="1"/>
  <c r="F6" i="1"/>
  <c r="F54" i="1"/>
  <c r="F31" i="1"/>
  <c r="F52" i="4"/>
  <c r="F53" i="4" s="1"/>
  <c r="F39" i="4"/>
  <c r="F41" i="4" s="1"/>
  <c r="F31" i="4"/>
  <c r="F19" i="4"/>
  <c r="E21" i="1" l="1"/>
  <c r="E32" i="1" s="1"/>
  <c r="E37" i="1" s="1"/>
  <c r="E39" i="1" s="1"/>
  <c r="D21" i="2"/>
  <c r="D32" i="2" s="1"/>
  <c r="D37" i="2" s="1"/>
  <c r="D39" i="2" s="1"/>
  <c r="D44" i="3"/>
  <c r="D43" i="4"/>
  <c r="D21" i="1"/>
  <c r="D32" i="1" s="1"/>
  <c r="D37" i="1" s="1"/>
  <c r="D39" i="1" s="1"/>
  <c r="F21" i="1"/>
  <c r="F32" i="1" s="1"/>
  <c r="F37" i="1" s="1"/>
  <c r="F39" i="1" s="1"/>
  <c r="F43" i="4"/>
  <c r="K54" i="2" l="1"/>
  <c r="I54" i="2"/>
  <c r="H54" i="2"/>
  <c r="E54" i="2"/>
  <c r="G54" i="2"/>
  <c r="M54" i="2"/>
  <c r="N54" i="2"/>
  <c r="O54" i="2"/>
  <c r="C16" i="2"/>
  <c r="E16" i="2"/>
  <c r="F16" i="2"/>
  <c r="G16" i="2"/>
  <c r="H16" i="2"/>
  <c r="I16" i="2"/>
  <c r="J16" i="2"/>
  <c r="K16" i="2"/>
  <c r="L16" i="2"/>
  <c r="M16" i="2"/>
  <c r="N16" i="2"/>
  <c r="O16" i="2"/>
  <c r="L54" i="2" l="1"/>
  <c r="J54" i="2"/>
  <c r="F54" i="2"/>
  <c r="C54" i="2"/>
  <c r="C6" i="2"/>
  <c r="E6" i="2"/>
  <c r="F6" i="2"/>
  <c r="F21" i="2" s="1"/>
  <c r="G6" i="2"/>
  <c r="G21" i="2" s="1"/>
  <c r="H6" i="2"/>
  <c r="H21" i="2" s="1"/>
  <c r="I6" i="2"/>
  <c r="I21" i="2" s="1"/>
  <c r="J6" i="2"/>
  <c r="J21" i="2" s="1"/>
  <c r="L6" i="2"/>
  <c r="M6" i="2"/>
  <c r="M21" i="2" s="1"/>
  <c r="N6" i="2"/>
  <c r="N21" i="2" s="1"/>
  <c r="O6" i="2"/>
  <c r="O21" i="2" s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K16" i="1"/>
  <c r="J16" i="1"/>
  <c r="I16" i="1"/>
  <c r="F55" i="3"/>
  <c r="H55" i="3"/>
  <c r="I55" i="3"/>
  <c r="J55" i="3"/>
  <c r="K55" i="3"/>
  <c r="L55" i="3"/>
  <c r="M55" i="3"/>
  <c r="N55" i="3"/>
  <c r="O55" i="3"/>
  <c r="E54" i="3"/>
  <c r="E55" i="3" s="1"/>
  <c r="F54" i="3"/>
  <c r="G54" i="3"/>
  <c r="G55" i="3" s="1"/>
  <c r="H54" i="3"/>
  <c r="I54" i="3"/>
  <c r="J54" i="3"/>
  <c r="K54" i="3"/>
  <c r="L54" i="3"/>
  <c r="M54" i="3"/>
  <c r="N54" i="3"/>
  <c r="O54" i="3"/>
  <c r="C54" i="3"/>
  <c r="C55" i="3"/>
  <c r="H18" i="1"/>
  <c r="H17" i="1"/>
  <c r="N17" i="1"/>
  <c r="M17" i="1" s="1"/>
  <c r="L17" i="1" s="1"/>
  <c r="L16" i="1" s="1"/>
  <c r="J52" i="1"/>
  <c r="H52" i="1" s="1"/>
  <c r="J51" i="1"/>
  <c r="J50" i="1"/>
  <c r="H50" i="1" s="1"/>
  <c r="J49" i="1"/>
  <c r="H49" i="1" s="1"/>
  <c r="J48" i="1"/>
  <c r="H48" i="1" s="1"/>
  <c r="J15" i="1"/>
  <c r="H15" i="1" s="1"/>
  <c r="J14" i="1"/>
  <c r="H14" i="1" s="1"/>
  <c r="J13" i="1"/>
  <c r="H13" i="1" s="1"/>
  <c r="J11" i="1"/>
  <c r="H11" i="1" s="1"/>
  <c r="J10" i="1"/>
  <c r="H10" i="1" s="1"/>
  <c r="J9" i="1"/>
  <c r="H9" i="1" s="1"/>
  <c r="J8" i="1"/>
  <c r="H8" i="1" s="1"/>
  <c r="J7" i="1"/>
  <c r="H7" i="1" s="1"/>
  <c r="N15" i="1"/>
  <c r="L15" i="1" s="1"/>
  <c r="N14" i="1"/>
  <c r="L14" i="1" s="1"/>
  <c r="N13" i="1"/>
  <c r="L13" i="1" s="1"/>
  <c r="N11" i="1"/>
  <c r="L11" i="1" s="1"/>
  <c r="N10" i="1"/>
  <c r="L10" i="1" s="1"/>
  <c r="N9" i="1"/>
  <c r="L9" i="1" s="1"/>
  <c r="N7" i="1"/>
  <c r="L7" i="1" s="1"/>
  <c r="N8" i="1"/>
  <c r="L8" i="1" s="1"/>
  <c r="R15" i="1"/>
  <c r="P15" i="1" s="1"/>
  <c r="R14" i="1"/>
  <c r="P14" i="1" s="1"/>
  <c r="R13" i="1"/>
  <c r="P13" i="1" s="1"/>
  <c r="R11" i="1"/>
  <c r="P11" i="1" s="1"/>
  <c r="R10" i="1"/>
  <c r="P10" i="1" s="1"/>
  <c r="R9" i="1"/>
  <c r="P9" i="1" s="1"/>
  <c r="R7" i="1"/>
  <c r="P7" i="1" s="1"/>
  <c r="R8" i="1"/>
  <c r="P8" i="1" s="1"/>
  <c r="T52" i="1"/>
  <c r="V51" i="1"/>
  <c r="T51" i="1" s="1"/>
  <c r="V50" i="1"/>
  <c r="T50" i="1" s="1"/>
  <c r="V49" i="1"/>
  <c r="T49" i="1" s="1"/>
  <c r="V48" i="1"/>
  <c r="T48" i="1" s="1"/>
  <c r="V15" i="1"/>
  <c r="T15" i="1" s="1"/>
  <c r="V14" i="1"/>
  <c r="T14" i="1" s="1"/>
  <c r="V13" i="1"/>
  <c r="T13" i="1" s="1"/>
  <c r="V9" i="1"/>
  <c r="T9" i="1" s="1"/>
  <c r="V11" i="1"/>
  <c r="T11" i="1" s="1"/>
  <c r="V10" i="1"/>
  <c r="T10" i="1" s="1"/>
  <c r="V8" i="1"/>
  <c r="T8" i="1" s="1"/>
  <c r="V7" i="1"/>
  <c r="T7" i="1" s="1"/>
  <c r="Z51" i="1"/>
  <c r="X51" i="1" s="1"/>
  <c r="Z50" i="1"/>
  <c r="X50" i="1" s="1"/>
  <c r="Z49" i="1"/>
  <c r="X49" i="1" s="1"/>
  <c r="Z48" i="1"/>
  <c r="X48" i="1" s="1"/>
  <c r="Z14" i="1"/>
  <c r="X14" i="1" s="1"/>
  <c r="Z13" i="1"/>
  <c r="X13" i="1" s="1"/>
  <c r="Z15" i="1"/>
  <c r="X15" i="1" s="1"/>
  <c r="Z11" i="1"/>
  <c r="X11" i="1" s="1"/>
  <c r="Z10" i="1"/>
  <c r="X10" i="1" s="1"/>
  <c r="Z9" i="1"/>
  <c r="X9" i="1" s="1"/>
  <c r="Z7" i="1"/>
  <c r="X7" i="1" s="1"/>
  <c r="Z8" i="1"/>
  <c r="X8" i="1" s="1"/>
  <c r="AD51" i="1"/>
  <c r="AB51" i="1" s="1"/>
  <c r="AD50" i="1"/>
  <c r="AB50" i="1" s="1"/>
  <c r="AD49" i="1"/>
  <c r="AB49" i="1" s="1"/>
  <c r="AD48" i="1"/>
  <c r="AD15" i="1"/>
  <c r="AB15" i="1" s="1"/>
  <c r="AD14" i="1"/>
  <c r="AB14" i="1" s="1"/>
  <c r="AD13" i="1"/>
  <c r="AB13" i="1" s="1"/>
  <c r="AD11" i="1"/>
  <c r="AB11" i="1" s="1"/>
  <c r="AD10" i="1"/>
  <c r="AB10" i="1" s="1"/>
  <c r="AD9" i="1"/>
  <c r="AB9" i="1" s="1"/>
  <c r="AD7" i="1"/>
  <c r="AB7" i="1" s="1"/>
  <c r="AD8" i="1"/>
  <c r="AB8" i="1" s="1"/>
  <c r="AH51" i="1"/>
  <c r="AF51" i="1" s="1"/>
  <c r="AH50" i="1"/>
  <c r="AH49" i="1"/>
  <c r="AF49" i="1" s="1"/>
  <c r="AH48" i="1"/>
  <c r="AF48" i="1" s="1"/>
  <c r="AH15" i="1"/>
  <c r="AF15" i="1" s="1"/>
  <c r="AH14" i="1"/>
  <c r="AF14" i="1" s="1"/>
  <c r="AH13" i="1"/>
  <c r="AF13" i="1" s="1"/>
  <c r="AH12" i="1"/>
  <c r="AH11" i="1"/>
  <c r="AF11" i="1" s="1"/>
  <c r="AH10" i="1"/>
  <c r="AF10" i="1" s="1"/>
  <c r="AH7" i="1"/>
  <c r="AF7" i="1" s="1"/>
  <c r="AH9" i="1"/>
  <c r="AF9" i="1" s="1"/>
  <c r="AH8" i="1"/>
  <c r="AF8" i="1" s="1"/>
  <c r="AJ13" i="1"/>
  <c r="AL51" i="1"/>
  <c r="AJ51" i="1" s="1"/>
  <c r="AL50" i="1"/>
  <c r="AJ50" i="1" s="1"/>
  <c r="AL49" i="1"/>
  <c r="AJ49" i="1" s="1"/>
  <c r="AL48" i="1"/>
  <c r="AJ48" i="1" s="1"/>
  <c r="AL15" i="1"/>
  <c r="AJ15" i="1" s="1"/>
  <c r="AL14" i="1"/>
  <c r="AJ14" i="1" s="1"/>
  <c r="AL12" i="1"/>
  <c r="AJ12" i="1" s="1"/>
  <c r="AL9" i="1"/>
  <c r="AJ9" i="1" s="1"/>
  <c r="AL8" i="1"/>
  <c r="AJ8" i="1" s="1"/>
  <c r="AL7" i="1"/>
  <c r="AJ7" i="1" s="1"/>
  <c r="AL10" i="1"/>
  <c r="AJ10" i="1" s="1"/>
  <c r="AL11" i="1"/>
  <c r="AJ11" i="1" s="1"/>
  <c r="AN15" i="1"/>
  <c r="AN14" i="1"/>
  <c r="AN12" i="1"/>
  <c r="AN11" i="1"/>
  <c r="AN10" i="1"/>
  <c r="AN9" i="1"/>
  <c r="AN8" i="1"/>
  <c r="AN7" i="1"/>
  <c r="AP51" i="1"/>
  <c r="AN51" i="1" s="1"/>
  <c r="AP50" i="1"/>
  <c r="AN50" i="1" s="1"/>
  <c r="AP49" i="1"/>
  <c r="AN49" i="1" s="1"/>
  <c r="AP48" i="1"/>
  <c r="AN48" i="1" s="1"/>
  <c r="H52" i="4"/>
  <c r="H53" i="4" s="1"/>
  <c r="I52" i="4"/>
  <c r="I53" i="4" s="1"/>
  <c r="J52" i="4"/>
  <c r="J53" i="4" s="1"/>
  <c r="K52" i="4"/>
  <c r="K53" i="4" s="1"/>
  <c r="L52" i="4"/>
  <c r="L53" i="4" s="1"/>
  <c r="M52" i="4"/>
  <c r="M53" i="4" s="1"/>
  <c r="N52" i="4"/>
  <c r="N53" i="4" s="1"/>
  <c r="O52" i="4"/>
  <c r="O53" i="4" s="1"/>
  <c r="P52" i="4"/>
  <c r="P53" i="4" s="1"/>
  <c r="Q52" i="4"/>
  <c r="Q53" i="4" s="1"/>
  <c r="R52" i="4"/>
  <c r="R53" i="4" s="1"/>
  <c r="S52" i="4"/>
  <c r="S53" i="4" s="1"/>
  <c r="T52" i="4"/>
  <c r="T53" i="4" s="1"/>
  <c r="U52" i="4"/>
  <c r="U53" i="4" s="1"/>
  <c r="V52" i="4"/>
  <c r="V53" i="4" s="1"/>
  <c r="W52" i="4"/>
  <c r="W53" i="4" s="1"/>
  <c r="X52" i="4"/>
  <c r="X53" i="4" s="1"/>
  <c r="Y52" i="4"/>
  <c r="Y53" i="4" s="1"/>
  <c r="Z52" i="4"/>
  <c r="Z53" i="4" s="1"/>
  <c r="AA52" i="4"/>
  <c r="AA53" i="4" s="1"/>
  <c r="AB52" i="4"/>
  <c r="AB53" i="4" s="1"/>
  <c r="AC52" i="4"/>
  <c r="AC53" i="4" s="1"/>
  <c r="AD52" i="4"/>
  <c r="AD53" i="4" s="1"/>
  <c r="AE52" i="4"/>
  <c r="AE53" i="4" s="1"/>
  <c r="AF52" i="4"/>
  <c r="AF53" i="4" s="1"/>
  <c r="AG52" i="4"/>
  <c r="AG53" i="4" s="1"/>
  <c r="AH52" i="4"/>
  <c r="AH53" i="4" s="1"/>
  <c r="AI52" i="4"/>
  <c r="AI53" i="4" s="1"/>
  <c r="AJ52" i="4"/>
  <c r="AJ53" i="4" s="1"/>
  <c r="AK52" i="4"/>
  <c r="AK53" i="4" s="1"/>
  <c r="AL52" i="4"/>
  <c r="AL53" i="4" s="1"/>
  <c r="AM52" i="4"/>
  <c r="AM53" i="4" s="1"/>
  <c r="AN52" i="4"/>
  <c r="AN53" i="4" s="1"/>
  <c r="AO52" i="4"/>
  <c r="AO53" i="4" s="1"/>
  <c r="AP52" i="4"/>
  <c r="AP53" i="4" s="1"/>
  <c r="AQ52" i="4"/>
  <c r="AQ53" i="4" s="1"/>
  <c r="G52" i="4"/>
  <c r="G53" i="4" s="1"/>
  <c r="I54" i="1"/>
  <c r="K54" i="1"/>
  <c r="M54" i="1"/>
  <c r="O54" i="1"/>
  <c r="Q54" i="1"/>
  <c r="S54" i="1"/>
  <c r="U54" i="1"/>
  <c r="W54" i="1"/>
  <c r="Y54" i="1"/>
  <c r="AA54" i="1"/>
  <c r="AC54" i="1"/>
  <c r="AE54" i="1"/>
  <c r="AG54" i="1"/>
  <c r="AI54" i="1"/>
  <c r="AK54" i="1"/>
  <c r="AM54" i="1"/>
  <c r="AO54" i="1"/>
  <c r="AQ54" i="1"/>
  <c r="G54" i="1"/>
  <c r="G1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Q6" i="1"/>
  <c r="O6" i="1"/>
  <c r="M6" i="1"/>
  <c r="I6" i="1"/>
  <c r="K6" i="1"/>
  <c r="G6" i="1"/>
  <c r="G31" i="1"/>
  <c r="G19" i="4"/>
  <c r="G39" i="4"/>
  <c r="G41" i="4" s="1"/>
  <c r="G31" i="4"/>
  <c r="K14" i="2" l="1"/>
  <c r="K15" i="2"/>
  <c r="K10" i="2"/>
  <c r="K7" i="2"/>
  <c r="K8" i="2"/>
  <c r="K9" i="2"/>
  <c r="K13" i="2"/>
  <c r="K11" i="2"/>
  <c r="K12" i="2"/>
  <c r="AI21" i="1"/>
  <c r="S21" i="1"/>
  <c r="AA21" i="1"/>
  <c r="P54" i="1"/>
  <c r="H16" i="1"/>
  <c r="AG21" i="1"/>
  <c r="AK21" i="1"/>
  <c r="Y21" i="1"/>
  <c r="M16" i="1"/>
  <c r="M21" i="1" s="1"/>
  <c r="N16" i="1"/>
  <c r="C21" i="2"/>
  <c r="E21" i="2"/>
  <c r="L21" i="2"/>
  <c r="AD54" i="1"/>
  <c r="V54" i="1"/>
  <c r="L54" i="1"/>
  <c r="J54" i="1"/>
  <c r="H51" i="1"/>
  <c r="H54" i="1" s="1"/>
  <c r="AB48" i="1"/>
  <c r="AB54" i="1" s="1"/>
  <c r="AH54" i="1"/>
  <c r="AF50" i="1"/>
  <c r="AF54" i="1" s="1"/>
  <c r="H6" i="1"/>
  <c r="J6" i="1"/>
  <c r="L6" i="1"/>
  <c r="N54" i="1"/>
  <c r="N6" i="1"/>
  <c r="P6" i="1"/>
  <c r="R54" i="1"/>
  <c r="R6" i="1"/>
  <c r="T54" i="1"/>
  <c r="T6" i="1"/>
  <c r="V6" i="1"/>
  <c r="X54" i="1"/>
  <c r="X6" i="1"/>
  <c r="X21" i="1" s="1"/>
  <c r="Z54" i="1"/>
  <c r="Z6" i="1"/>
  <c r="Z21" i="1" s="1"/>
  <c r="AB6" i="1"/>
  <c r="AB21" i="1" s="1"/>
  <c r="AD6" i="1"/>
  <c r="AD21" i="1" s="1"/>
  <c r="AF6" i="1"/>
  <c r="AH6" i="1"/>
  <c r="AH21" i="1" s="1"/>
  <c r="AJ54" i="1"/>
  <c r="AJ6" i="1"/>
  <c r="AJ21" i="1" s="1"/>
  <c r="AN54" i="1"/>
  <c r="AL54" i="1"/>
  <c r="AL6" i="1"/>
  <c r="AN6" i="1"/>
  <c r="AN21" i="1" s="1"/>
  <c r="AP6" i="1"/>
  <c r="AP21" i="1" s="1"/>
  <c r="AP54" i="1"/>
  <c r="AQ21" i="1"/>
  <c r="G21" i="1"/>
  <c r="G32" i="1" s="1"/>
  <c r="G37" i="1" s="1"/>
  <c r="G39" i="1" s="1"/>
  <c r="K21" i="1"/>
  <c r="U21" i="1"/>
  <c r="AC21" i="1"/>
  <c r="O21" i="1"/>
  <c r="AM21" i="1"/>
  <c r="W21" i="1"/>
  <c r="AE21" i="1"/>
  <c r="Q21" i="1"/>
  <c r="AO21" i="1"/>
  <c r="I21" i="1"/>
  <c r="G43" i="4"/>
  <c r="K6" i="2" l="1"/>
  <c r="K21" i="2" s="1"/>
  <c r="H21" i="1"/>
  <c r="N21" i="1"/>
  <c r="J21" i="1"/>
  <c r="L21" i="1"/>
  <c r="P21" i="1"/>
  <c r="R21" i="1"/>
  <c r="T21" i="1"/>
  <c r="V21" i="1"/>
  <c r="AF21" i="1"/>
  <c r="AL21" i="1"/>
  <c r="H31" i="1"/>
  <c r="H39" i="4"/>
  <c r="H41" i="4" s="1"/>
  <c r="H31" i="4"/>
  <c r="H19" i="4"/>
  <c r="H43" i="4" l="1"/>
  <c r="H32" i="1"/>
  <c r="C31" i="2"/>
  <c r="I39" i="4"/>
  <c r="I41" i="4" s="1"/>
  <c r="I31" i="4"/>
  <c r="I19" i="4"/>
  <c r="I31" i="1"/>
  <c r="H37" i="1" l="1"/>
  <c r="H39" i="1" s="1"/>
  <c r="C32" i="2"/>
  <c r="C37" i="2" s="1"/>
  <c r="I43" i="4"/>
  <c r="I32" i="1"/>
  <c r="I37" i="1" s="1"/>
  <c r="I39" i="1" s="1"/>
  <c r="C39" i="2" l="1"/>
  <c r="K39" i="4"/>
  <c r="K41" i="4" s="1"/>
  <c r="K31" i="4"/>
  <c r="K19" i="4"/>
  <c r="O39" i="4"/>
  <c r="O41" i="4" s="1"/>
  <c r="N39" i="4"/>
  <c r="N41" i="4" s="1"/>
  <c r="M39" i="4"/>
  <c r="M41" i="4" s="1"/>
  <c r="L39" i="4"/>
  <c r="L41" i="4" s="1"/>
  <c r="O31" i="4"/>
  <c r="N31" i="4"/>
  <c r="M31" i="4"/>
  <c r="L31" i="4"/>
  <c r="O19" i="4"/>
  <c r="N19" i="4"/>
  <c r="M19" i="4"/>
  <c r="L19" i="4"/>
  <c r="S39" i="4"/>
  <c r="S41" i="4" s="1"/>
  <c r="R39" i="4"/>
  <c r="R41" i="4" s="1"/>
  <c r="Q39" i="4"/>
  <c r="Q41" i="4" s="1"/>
  <c r="P39" i="4"/>
  <c r="P41" i="4" s="1"/>
  <c r="S31" i="4"/>
  <c r="R31" i="4"/>
  <c r="Q31" i="4"/>
  <c r="P31" i="4"/>
  <c r="S19" i="4"/>
  <c r="R19" i="4"/>
  <c r="Q19" i="4"/>
  <c r="P19" i="4"/>
  <c r="W39" i="4"/>
  <c r="W41" i="4" s="1"/>
  <c r="V39" i="4"/>
  <c r="V41" i="4" s="1"/>
  <c r="U39" i="4"/>
  <c r="U41" i="4" s="1"/>
  <c r="T39" i="4"/>
  <c r="T41" i="4" s="1"/>
  <c r="W31" i="4"/>
  <c r="V31" i="4"/>
  <c r="U31" i="4"/>
  <c r="T31" i="4"/>
  <c r="W19" i="4"/>
  <c r="V19" i="4"/>
  <c r="U19" i="4"/>
  <c r="T19" i="4"/>
  <c r="AA39" i="4"/>
  <c r="AA41" i="4" s="1"/>
  <c r="Z39" i="4"/>
  <c r="Z41" i="4" s="1"/>
  <c r="Y39" i="4"/>
  <c r="Y41" i="4" s="1"/>
  <c r="X39" i="4"/>
  <c r="X41" i="4" s="1"/>
  <c r="AA31" i="4"/>
  <c r="Z31" i="4"/>
  <c r="Y31" i="4"/>
  <c r="X31" i="4"/>
  <c r="AA19" i="4"/>
  <c r="Z19" i="4"/>
  <c r="Y19" i="4"/>
  <c r="X19" i="4"/>
  <c r="K43" i="4" l="1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E39" i="4"/>
  <c r="AE41" i="4" s="1"/>
  <c r="AD39" i="4"/>
  <c r="AD41" i="4" s="1"/>
  <c r="AC39" i="4"/>
  <c r="AC41" i="4" s="1"/>
  <c r="AB39" i="4"/>
  <c r="AB41" i="4" s="1"/>
  <c r="AE31" i="4"/>
  <c r="AD31" i="4"/>
  <c r="AC31" i="4"/>
  <c r="AB31" i="4"/>
  <c r="AE19" i="4"/>
  <c r="AD19" i="4"/>
  <c r="AC19" i="4"/>
  <c r="AB19" i="4"/>
  <c r="AG31" i="4"/>
  <c r="AH31" i="4"/>
  <c r="AI31" i="4"/>
  <c r="AG39" i="4"/>
  <c r="AG41" i="4" s="1"/>
  <c r="AH39" i="4"/>
  <c r="AH41" i="4" s="1"/>
  <c r="AI39" i="4"/>
  <c r="AI41" i="4" s="1"/>
  <c r="AG19" i="4"/>
  <c r="AH19" i="4"/>
  <c r="AI19" i="4"/>
  <c r="AF39" i="4"/>
  <c r="AF41" i="4" s="1"/>
  <c r="AF31" i="4"/>
  <c r="AF19" i="4"/>
  <c r="AK31" i="4"/>
  <c r="AL31" i="4"/>
  <c r="AM39" i="4"/>
  <c r="AM41" i="4" s="1"/>
  <c r="AL39" i="4"/>
  <c r="AL41" i="4" s="1"/>
  <c r="AK39" i="4"/>
  <c r="AK41" i="4" s="1"/>
  <c r="AJ39" i="4"/>
  <c r="AJ41" i="4" s="1"/>
  <c r="AM31" i="4"/>
  <c r="AJ31" i="4"/>
  <c r="AM19" i="4"/>
  <c r="AL19" i="4"/>
  <c r="AK19" i="4"/>
  <c r="AJ19" i="4"/>
  <c r="AB43" i="4" l="1"/>
  <c r="AC43" i="4"/>
  <c r="AD43" i="4"/>
  <c r="AE43" i="4"/>
  <c r="AG43" i="4"/>
  <c r="AI43" i="4"/>
  <c r="AF43" i="4"/>
  <c r="AH43" i="4"/>
  <c r="AJ43" i="4"/>
  <c r="AM43" i="4"/>
  <c r="AK43" i="4"/>
  <c r="AL43" i="4"/>
  <c r="AQ39" i="4"/>
  <c r="AQ41" i="4" s="1"/>
  <c r="AP39" i="4"/>
  <c r="AP41" i="4" s="1"/>
  <c r="AO39" i="4"/>
  <c r="AO41" i="4" s="1"/>
  <c r="AN39" i="4"/>
  <c r="AN41" i="4" s="1"/>
  <c r="J39" i="4"/>
  <c r="J41" i="4" s="1"/>
  <c r="AQ31" i="4"/>
  <c r="AP31" i="4"/>
  <c r="AO31" i="4"/>
  <c r="AN31" i="4"/>
  <c r="J31" i="4"/>
  <c r="AQ19" i="4"/>
  <c r="AP19" i="4"/>
  <c r="AO19" i="4"/>
  <c r="AN19" i="4"/>
  <c r="J19" i="4"/>
  <c r="J31" i="1"/>
  <c r="C40" i="3"/>
  <c r="C42" i="3" s="1"/>
  <c r="C32" i="3"/>
  <c r="C20" i="3"/>
  <c r="AN43" i="4" l="1"/>
  <c r="J43" i="4"/>
  <c r="AP43" i="4"/>
  <c r="AO43" i="4"/>
  <c r="AQ43" i="4"/>
  <c r="J32" i="1"/>
  <c r="C44" i="3"/>
  <c r="K31" i="1"/>
  <c r="J37" i="1" l="1"/>
  <c r="K32" i="1"/>
  <c r="K37" i="1" s="1"/>
  <c r="K39" i="1" s="1"/>
  <c r="J39" i="1" l="1"/>
  <c r="L31" i="1"/>
  <c r="E31" i="2"/>
  <c r="M31" i="1"/>
  <c r="N31" i="1"/>
  <c r="E32" i="2" l="1"/>
  <c r="E37" i="2" s="1"/>
  <c r="E39" i="2" s="1"/>
  <c r="M32" i="1"/>
  <c r="M37" i="1" s="1"/>
  <c r="M39" i="1" s="1"/>
  <c r="N32" i="1"/>
  <c r="N37" i="1" s="1"/>
  <c r="N39" i="1" s="1"/>
  <c r="L32" i="1" l="1"/>
  <c r="E40" i="3"/>
  <c r="E42" i="3" s="1"/>
  <c r="E32" i="3"/>
  <c r="E20" i="3"/>
  <c r="O31" i="1"/>
  <c r="L37" i="1" l="1"/>
  <c r="E44" i="3"/>
  <c r="O32" i="1"/>
  <c r="O37" i="1" s="1"/>
  <c r="O39" i="1" s="1"/>
  <c r="P31" i="1"/>
  <c r="H31" i="2"/>
  <c r="I31" i="2"/>
  <c r="J31" i="2"/>
  <c r="K31" i="2"/>
  <c r="L31" i="2"/>
  <c r="M31" i="2"/>
  <c r="N31" i="2"/>
  <c r="O31" i="2"/>
  <c r="G31" i="2"/>
  <c r="F31" i="2"/>
  <c r="L39" i="1" l="1"/>
  <c r="P32" i="1"/>
  <c r="F32" i="2"/>
  <c r="F37" i="2" s="1"/>
  <c r="F39" i="2" s="1"/>
  <c r="P37" i="1" l="1"/>
  <c r="Q31" i="1"/>
  <c r="T25" i="1"/>
  <c r="T31" i="1" s="1"/>
  <c r="R31" i="1"/>
  <c r="F40" i="3"/>
  <c r="F42" i="3" s="1"/>
  <c r="F32" i="3"/>
  <c r="F20" i="3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U31" i="1"/>
  <c r="S31" i="1"/>
  <c r="P39" i="1" l="1"/>
  <c r="Q32" i="1"/>
  <c r="V31" i="1"/>
  <c r="R32" i="1"/>
  <c r="R37" i="1" s="1"/>
  <c r="R39" i="1" s="1"/>
  <c r="F44" i="3"/>
  <c r="S32" i="1"/>
  <c r="S37" i="1" s="1"/>
  <c r="S39" i="1" s="1"/>
  <c r="Q37" i="1" l="1"/>
  <c r="G40" i="3"/>
  <c r="Q39" i="1" l="1"/>
  <c r="U32" i="1" l="1"/>
  <c r="U37" i="1" s="1"/>
  <c r="U39" i="1" s="1"/>
  <c r="H32" i="2"/>
  <c r="H37" i="2" s="1"/>
  <c r="H39" i="2" s="1"/>
  <c r="T32" i="1"/>
  <c r="T37" i="1" l="1"/>
  <c r="V32" i="1"/>
  <c r="V37" i="1" s="1"/>
  <c r="V39" i="1" s="1"/>
  <c r="G42" i="3"/>
  <c r="G32" i="3"/>
  <c r="G20" i="3"/>
  <c r="T39" i="1" l="1"/>
  <c r="W32" i="1"/>
  <c r="G44" i="3"/>
  <c r="W37" i="1" l="1"/>
  <c r="X32" i="1"/>
  <c r="X37" i="1" l="1"/>
  <c r="W39" i="1"/>
  <c r="G32" i="2"/>
  <c r="H40" i="3"/>
  <c r="H42" i="3" s="1"/>
  <c r="H32" i="3"/>
  <c r="H20" i="3"/>
  <c r="G37" i="2" l="1"/>
  <c r="X39" i="1"/>
  <c r="H44" i="3"/>
  <c r="G39" i="2" l="1"/>
  <c r="Y32" i="1"/>
  <c r="Y37" i="1" l="1"/>
  <c r="Z32" i="1"/>
  <c r="Z37" i="1" s="1"/>
  <c r="Z39" i="1" s="1"/>
  <c r="Y39" i="1" l="1"/>
  <c r="AA32" i="1"/>
  <c r="AA37" i="1" s="1"/>
  <c r="AA39" i="1" s="1"/>
  <c r="AB32" i="1" l="1"/>
  <c r="I32" i="2"/>
  <c r="I40" i="3"/>
  <c r="I42" i="3" s="1"/>
  <c r="I32" i="3"/>
  <c r="I20" i="3"/>
  <c r="AB37" i="1" l="1"/>
  <c r="I37" i="2"/>
  <c r="I39" i="2" s="1"/>
  <c r="I44" i="3"/>
  <c r="AC32" i="1"/>
  <c r="AB39" i="1" l="1"/>
  <c r="AC37" i="1"/>
  <c r="AC39" i="1" s="1"/>
  <c r="AD32" i="1"/>
  <c r="AE32" i="1" l="1"/>
  <c r="AE37" i="1" s="1"/>
  <c r="AE39" i="1" s="1"/>
  <c r="AD37" i="1"/>
  <c r="AD39" i="1" s="1"/>
  <c r="K32" i="2" l="1"/>
  <c r="AG32" i="1" l="1"/>
  <c r="AG37" i="1" s="1"/>
  <c r="AG39" i="1" s="1"/>
  <c r="K37" i="2"/>
  <c r="K39" i="2" s="1"/>
  <c r="J40" i="3"/>
  <c r="J42" i="3" s="1"/>
  <c r="J32" i="3"/>
  <c r="J20" i="3"/>
  <c r="AF32" i="1" l="1"/>
  <c r="J44" i="3"/>
  <c r="AF37" i="1" l="1"/>
  <c r="AF39" i="1" l="1"/>
  <c r="AH32" i="1"/>
  <c r="AH37" i="1" l="1"/>
  <c r="AH39" i="1" l="1"/>
  <c r="AI32" i="1"/>
  <c r="AK32" i="1" l="1"/>
  <c r="AK37" i="1" s="1"/>
  <c r="AK39" i="1" s="1"/>
  <c r="AI37" i="1"/>
  <c r="J32" i="2"/>
  <c r="M40" i="3"/>
  <c r="M42" i="3" s="1"/>
  <c r="N40" i="3"/>
  <c r="N42" i="3" s="1"/>
  <c r="O40" i="3"/>
  <c r="O42" i="3" s="1"/>
  <c r="L40" i="3"/>
  <c r="L42" i="3" s="1"/>
  <c r="K40" i="3"/>
  <c r="K42" i="3" s="1"/>
  <c r="AI39" i="1" l="1"/>
  <c r="J37" i="2"/>
  <c r="J39" i="2" s="1"/>
  <c r="O32" i="3"/>
  <c r="O44" i="3" s="1"/>
  <c r="N32" i="3"/>
  <c r="N44" i="3" s="1"/>
  <c r="M32" i="3"/>
  <c r="M44" i="3" s="1"/>
  <c r="L32" i="3"/>
  <c r="L44" i="3" s="1"/>
  <c r="K32" i="3"/>
  <c r="K44" i="3" s="1"/>
  <c r="O20" i="3"/>
  <c r="N20" i="3"/>
  <c r="M20" i="3"/>
  <c r="L20" i="3"/>
  <c r="K20" i="3"/>
  <c r="L32" i="2" l="1"/>
  <c r="L37" i="2" s="1"/>
  <c r="L39" i="2" s="1"/>
  <c r="AL32" i="1" l="1"/>
  <c r="M32" i="2"/>
  <c r="N32" i="2"/>
  <c r="O32" i="2"/>
  <c r="AJ32" i="1"/>
  <c r="AM32" i="1"/>
  <c r="O37" i="2" l="1"/>
  <c r="O39" i="2" s="1"/>
  <c r="N37" i="2"/>
  <c r="N39" i="2" s="1"/>
  <c r="M37" i="2"/>
  <c r="M39" i="2" s="1"/>
  <c r="AJ37" i="1"/>
  <c r="AM37" i="1"/>
  <c r="AM39" i="1" s="1"/>
  <c r="AL37" i="1"/>
  <c r="AL39" i="1" s="1"/>
  <c r="AN32" i="1"/>
  <c r="AJ39" i="1" l="1"/>
  <c r="AN37" i="1"/>
  <c r="AO32" i="1"/>
  <c r="AN39" i="1" l="1"/>
  <c r="AO37" i="1"/>
  <c r="AO39" i="1" s="1"/>
  <c r="AP32" i="1"/>
  <c r="AQ32" i="1"/>
  <c r="AQ37" i="1" s="1"/>
  <c r="AP37" i="1" l="1"/>
  <c r="AQ39" i="1"/>
  <c r="AP39" i="1" l="1"/>
</calcChain>
</file>

<file path=xl/sharedStrings.xml><?xml version="1.0" encoding="utf-8"?>
<sst xmlns="http://schemas.openxmlformats.org/spreadsheetml/2006/main" count="406" uniqueCount="164">
  <si>
    <t>Wynik z operacji na instrumentach finansowych</t>
  </si>
  <si>
    <t>Przychody z tytułu prowizji i opłat</t>
  </si>
  <si>
    <t>Pozostałe przychody</t>
  </si>
  <si>
    <t>Przychody z działalności operacyjnej razem</t>
  </si>
  <si>
    <t>Wynagrodzenia i świadczenia pracownicze</t>
  </si>
  <si>
    <t>Marketing</t>
  </si>
  <si>
    <t>Pozostałe usługi obce</t>
  </si>
  <si>
    <t>Koszty utrzymania i wynajmu budynków</t>
  </si>
  <si>
    <t>Amortyzacja</t>
  </si>
  <si>
    <t xml:space="preserve">Podatki i opłaty </t>
  </si>
  <si>
    <t>Koszty prowizji</t>
  </si>
  <si>
    <t>Pozostałe koszty</t>
  </si>
  <si>
    <t>Koszty działalności operacyjnej razem</t>
  </si>
  <si>
    <t>Zysk z działalności operacyjnej</t>
  </si>
  <si>
    <t>Przychody finansowe</t>
  </si>
  <si>
    <t>Zysk przed opodatkowaniem</t>
  </si>
  <si>
    <t>Podatek dochodowy</t>
  </si>
  <si>
    <t>Zysk netto</t>
  </si>
  <si>
    <t>* dane przekształcone</t>
  </si>
  <si>
    <t>01.01.2015 - 31.12.2015</t>
  </si>
  <si>
    <t>01.01.2014 - 31.12.2014*</t>
  </si>
  <si>
    <t>01.01.2013 - 31.12.2013*</t>
  </si>
  <si>
    <t>01.01.2016 - 31.12.2016</t>
  </si>
  <si>
    <t>Odpisy aktualizujące wartości niematerialne</t>
  </si>
  <si>
    <t>AKTYWA</t>
  </si>
  <si>
    <t>Środki pieniężne własne</t>
  </si>
  <si>
    <t>Aktywa finansowe przeznaczone do obrotu</t>
  </si>
  <si>
    <t>Należności z tytułu podatku dochodowego</t>
  </si>
  <si>
    <t>Rozliczenia międzyokresowe kosztów</t>
  </si>
  <si>
    <t>Wartości niematerialne</t>
  </si>
  <si>
    <t>Rzeczowe aktywa trwałe</t>
  </si>
  <si>
    <t>Aktywa z tytułu odroczonego podatku dochodowego</t>
  </si>
  <si>
    <t>Aktywa razem</t>
  </si>
  <si>
    <t>KAPITAŁ WŁASNY I ZOBOWIĄZANIA</t>
  </si>
  <si>
    <t>Zobowiązania</t>
  </si>
  <si>
    <t>Zobowiązania wobec klientów</t>
  </si>
  <si>
    <t>Zobowiązania finansowe przeznaczone do obrotu</t>
  </si>
  <si>
    <t>Zobowiązania z tytułu podatku dochodowego</t>
  </si>
  <si>
    <t>Rezerwy na zobowiązania</t>
  </si>
  <si>
    <t>Rezerwa na odroczony podatek dochodowy</t>
  </si>
  <si>
    <t>Zobowiązania razem</t>
  </si>
  <si>
    <t>Kapitał własny</t>
  </si>
  <si>
    <t>Kapitał podstawowy</t>
  </si>
  <si>
    <t>Kapitał zapasowy</t>
  </si>
  <si>
    <t>Pozostałe kapitały rezerwowe</t>
  </si>
  <si>
    <t>Różnice kursowe z przeliczenia</t>
  </si>
  <si>
    <t>Zyski zatrzymane</t>
  </si>
  <si>
    <t>Kapitał własny właścicieli jednostki dominującej</t>
  </si>
  <si>
    <t>Kapitał własny razem</t>
  </si>
  <si>
    <t>Kapitał własny i zobowiązania razem</t>
  </si>
  <si>
    <t>Aktywa finansowe utrzymywane do terminu zapadalności</t>
  </si>
  <si>
    <t>Środki pieniężne klientów</t>
  </si>
  <si>
    <t>Aktywa finansowe dostępne do sprzedaży</t>
  </si>
  <si>
    <t>SKONSOLIDOWANE SPRAWOZDANIE Z DOCHODÓW CAŁKOWITYCH - ROCZNE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</si>
  <si>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</si>
  <si>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</si>
  <si>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</si>
  <si>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</si>
  <si>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</si>
  <si>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</si>
  <si>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31.12.2013*</t>
  </si>
  <si>
    <t>31.12.2014*</t>
  </si>
  <si>
    <t>31.12.2015</t>
  </si>
  <si>
    <t>31.12.2016</t>
  </si>
  <si>
    <t>01.01.2017 - 31.12.2017</t>
  </si>
  <si>
    <t>(w tys. PLN)</t>
  </si>
  <si>
    <t>SKONSOLIDOWANE SPRAWOZDANIE Z DOCHODÓW CAŁKOWITYCH - KWARTALNE</t>
  </si>
  <si>
    <t>IV KWARTAŁ 2017 ROKU</t>
  </si>
  <si>
    <t>Aktywa finansowe wyceniane w wartości godziwej przez wynik finansowy</t>
  </si>
  <si>
    <t>ND**</t>
  </si>
  <si>
    <t>Pozostałe zobowiązania</t>
  </si>
  <si>
    <t>II KWARTAŁ 2018 ROKU</t>
  </si>
  <si>
    <t>III KWARTAŁ 2018 ROKU</t>
  </si>
  <si>
    <t>IV KWARTAŁ 2018 ROKU</t>
  </si>
  <si>
    <t>01.01.2018 - 31.12.2018</t>
  </si>
  <si>
    <t>Aktywa finansowe wyceniane w zamortyzowanym koszcie</t>
  </si>
  <si>
    <t>Zobowiązania z tytułu leasingu</t>
  </si>
  <si>
    <t>Zysk (strata) z działalności operacyjnej</t>
  </si>
  <si>
    <t>Zysk (strata) przed opodatkowaniem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</si>
  <si>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</si>
  <si>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</si>
  <si>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</si>
  <si>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</si>
  <si>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</si>
  <si>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</si>
  <si>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</si>
  <si>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</si>
  <si>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</si>
  <si>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Koszty finansowe, w tym:</t>
  </si>
  <si>
    <t>- ujemne różnice kursowe dotyczące spółki w Turcji</t>
  </si>
  <si>
    <t>II KWARTAŁ 
2020 ROKU</t>
  </si>
  <si>
    <t>III KWARTAŁ 
2020 ROKU</t>
  </si>
  <si>
    <t>01.01.2020 - 31.12.2020</t>
  </si>
  <si>
    <t>IV KWARTAŁ 2020 ROKU</t>
  </si>
  <si>
    <t>I KWARTAŁ 
2021 ROKU</t>
  </si>
  <si>
    <t>II KWARTAŁ 2021 ROKU</t>
  </si>
  <si>
    <t>III KWARTAŁ 2021 ROKU</t>
  </si>
  <si>
    <t>IV KWARTAŁ 2021 ROKU</t>
  </si>
  <si>
    <t>01.01.2021 - 31.12.2021</t>
  </si>
  <si>
    <t>I KWARTAŁ 2022 ROKU</t>
  </si>
  <si>
    <t>II KWARTAŁ 2022 ROKU</t>
  </si>
  <si>
    <t>III KWARTAŁ 2022 ROKU</t>
  </si>
  <si>
    <t>IV KWARTAŁ 2022 ROKU</t>
  </si>
  <si>
    <t>I KWARTAŁ 2023 ROKU</t>
  </si>
  <si>
    <t>II KWARTAŁ 2023 ROKU</t>
  </si>
  <si>
    <t>III KWARTAŁ 2023 ROKU</t>
  </si>
  <si>
    <t>IV KWARTAŁ 2023 ROKU</t>
  </si>
  <si>
    <t>I KWARTAŁ 2024 ROKU</t>
  </si>
  <si>
    <t>Zysk (strata) netto, w tym:</t>
  </si>
  <si>
    <t>- zysk przypisywany właścicielom jednostki dominującej</t>
  </si>
  <si>
    <t>- zysk (strata) przypisywana właścicielom udziałów niekontrolujących</t>
  </si>
  <si>
    <t>01.01.2023 - 31.12.2023*</t>
  </si>
  <si>
    <t>01.01.2022 - 31.12.2022*</t>
  </si>
  <si>
    <t>Udziały niekontrolujące</t>
  </si>
  <si>
    <t>II KWARTAŁ 2024 ROKU</t>
  </si>
  <si>
    <t>SKONSOLIDOWANE SPRAWOZDANIE Z SYTUACJI FINANSOWEJ - NA KONIEC ROKU</t>
  </si>
  <si>
    <t>ND*</t>
  </si>
  <si>
    <t>SKONSOLIDOWANE SPRAWOZDANIE Z SYTUACJI FINANSOWEJ - NA KONIEC POSZCZEGÓLNYCH KWARTAŁÓW</t>
  </si>
  <si>
    <t>III KWARTAŁ 2024 ROKU</t>
  </si>
  <si>
    <t>01.01.2024 - 31.12.2024</t>
  </si>
  <si>
    <t>IV KWARTAŁ 2024 ROKU</t>
  </si>
  <si>
    <t>I KWARTAŁ 2025 ROKU</t>
  </si>
  <si>
    <t xml:space="preserve">  - CFD na towary</t>
  </si>
  <si>
    <t xml:space="preserve">  - CFD na indeksy</t>
  </si>
  <si>
    <t xml:space="preserve">  - CFD na waluty</t>
  </si>
  <si>
    <t xml:space="preserve">  - CFD na obligacje</t>
  </si>
  <si>
    <t xml:space="preserve">  - Bonusy i rabaty wypłacane klientom</t>
  </si>
  <si>
    <t xml:space="preserve">  - Prowizje wypłacane brokerom współpracującym </t>
  </si>
  <si>
    <t xml:space="preserve">  - przychody z tytułu odsetek od środków pieniężnych klientów </t>
  </si>
  <si>
    <t xml:space="preserve">  - koszty z tytułu odsetek zapłaconych klientom </t>
  </si>
  <si>
    <t>OBSZARY GEOGRAFICZNE</t>
  </si>
  <si>
    <t>Przychody z działalności operacyjnej</t>
  </si>
  <si>
    <t xml:space="preserve">  - w tym Polska</t>
  </si>
  <si>
    <t>Europa Środkowo-Wschodnia</t>
  </si>
  <si>
    <t>Europa Zachodnia</t>
  </si>
  <si>
    <t>Azja</t>
  </si>
  <si>
    <t>AKTYWA KLIENTÓW</t>
  </si>
  <si>
    <t>Wartość nominalna instrumentów pochodnych klientów</t>
  </si>
  <si>
    <t>Aktywa klientów XTB</t>
  </si>
  <si>
    <t xml:space="preserve">  - Instrumenty pochodne opcyjne</t>
  </si>
  <si>
    <t>Bliski Wschód***</t>
  </si>
  <si>
    <t>IV KWARTAŁ 2023* ROKU</t>
  </si>
  <si>
    <t>III KWARTAŁ 2023* ROKU</t>
  </si>
  <si>
    <t>II KWARTAŁ 2023* ROKU</t>
  </si>
  <si>
    <t>I KWARTAŁ 2023* ROKU</t>
  </si>
  <si>
    <t>IV KWARTAŁ 2022* ROKU</t>
  </si>
  <si>
    <t>I KWARTAŁ 2022* ROKU</t>
  </si>
  <si>
    <t>II KWARTAŁ 2022* ROKU</t>
  </si>
  <si>
    <t>III KWARTAŁ 2022* ROKU</t>
  </si>
  <si>
    <t>Ameryka Łacińska** i Turcja (do końca 2017 r.)</t>
  </si>
  <si>
    <t>Wynik z tytułu odsetek od środków pieniężnych klientów</t>
  </si>
  <si>
    <t>* ND - nie dotyczy - pozycje, które nie występują w związku z zasadami wynikającymi z zastosowania MSSF 9 od 1 stycznia 2018 roku.</t>
  </si>
  <si>
    <t>** ND - nie dotyczy - pozycje, które nie występują w związku z zasadami wynikającymi z zastosowania MSSF 9 od 1 stycznia 2018 roku.</t>
  </si>
  <si>
    <t>II KWARTAŁ 2025 ROKU</t>
  </si>
  <si>
    <t>III KWARTAŁ 2025 ROKU</t>
  </si>
  <si>
    <t>01.01.2025 - 31.12.2025</t>
  </si>
  <si>
    <t>IV KWARTAŁ 2025 ROKU</t>
  </si>
  <si>
    <t>Wartość nominalna instrumentów posiadanych przez klientów na rachunkach (akcje i ETF)</t>
  </si>
  <si>
    <t xml:space="preserve">  - CFD na akcje i ETF</t>
  </si>
  <si>
    <t xml:space="preserve">  - Akcje i ETF</t>
  </si>
  <si>
    <t>** Spółka zależna XTB International Ltd. z siedzibą w Belize pozyskuje klientów z Ameryki Łacińskiej i pozostałych regionów świata (poza Europą). Z niniejszej pozycji wyłączono przychody od klientów z regionu Bliskiego Wschodu pozyskanych przez tą spółkę.</t>
  </si>
  <si>
    <t>*** Przychody od klientów z regionu Bliskiego Wschodu, pozyskanych przez XTB International Ltd. z siedzibą w Belize, a także przez XTB MENA Limited oraz XTB Financial Services L.L.C z siedzibą w Zjednoczonych Emiratach Arabskich.</t>
  </si>
  <si>
    <t>I KWARTAŁ 2026 ROKU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</si>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</sst>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)\ &quot;zł&quot;_ ;_ * \(#,##0.00\)\ &quot;zł&quot;_ ;_ * &quot;-&quot;??_)\ &quot;zł&quot;_ ;_ @_ "/>
    <numFmt numFmtId="165" formatCode="#,##0_);\(#,##0\);\−\ "/>
    <numFmt numFmtId="166" formatCode="_-* #,##0_-;\-* #,##0_-;_-* &quot;-&quot;??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i/>
      <sz val="9"/>
      <color rgb="FF121E2A"/>
      <name val="Arial"/>
      <family val="2"/>
    </font>
    <font>
      <b/>
      <sz val="9"/>
      <color rgb="FF121E2A"/>
      <name val="Arial"/>
      <family val="2"/>
    </font>
    <font>
      <i/>
      <sz val="11"/>
      <color theme="1"/>
      <name val="Arial"/>
      <family val="2"/>
    </font>
    <font>
      <sz val="9"/>
      <color indexed="8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</cellStyleXfs>
  <cellXfs count="122">
    <xf numFmtId="0" fontId="0" fillId="0" borderId="0" xfId="0"/>
    <xf numFmtId="0" fontId="4" fillId="2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164" fontId="5" fillId="5" borderId="8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14" fontId="5" fillId="6" borderId="21" xfId="0" applyNumberFormat="1" applyFont="1" applyFill="1" applyBorder="1" applyAlignment="1">
      <alignment horizontal="center" vertical="center" wrapText="1"/>
    </xf>
    <xf numFmtId="14" fontId="5" fillId="6" borderId="22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5" fontId="7" fillId="7" borderId="0" xfId="2" applyNumberFormat="1" applyFont="1" applyFill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4" borderId="3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8" fillId="7" borderId="0" xfId="2" applyNumberFormat="1" applyFont="1" applyFill="1" applyAlignment="1">
      <alignment horizontal="right" vertical="center"/>
    </xf>
    <xf numFmtId="165" fontId="8" fillId="2" borderId="2" xfId="2" applyNumberFormat="1" applyFont="1" applyFill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right" vertical="center"/>
    </xf>
    <xf numFmtId="165" fontId="8" fillId="4" borderId="3" xfId="2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horizontal="right" vertical="center"/>
    </xf>
    <xf numFmtId="165" fontId="8" fillId="2" borderId="0" xfId="2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165" fontId="9" fillId="7" borderId="1" xfId="2" applyNumberFormat="1" applyFont="1" applyFill="1" applyBorder="1" applyAlignment="1">
      <alignment horizontal="right" vertical="center"/>
    </xf>
    <xf numFmtId="165" fontId="9" fillId="2" borderId="4" xfId="2" applyNumberFormat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165" fontId="9" fillId="2" borderId="5" xfId="2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7" fillId="2" borderId="7" xfId="2" applyNumberFormat="1" applyFont="1" applyFill="1" applyBorder="1" applyAlignment="1">
      <alignment horizontal="right" vertical="center"/>
    </xf>
    <xf numFmtId="165" fontId="7" fillId="2" borderId="15" xfId="2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5" fontId="9" fillId="4" borderId="4" xfId="2" applyNumberFormat="1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165" fontId="7" fillId="8" borderId="12" xfId="2" applyNumberFormat="1" applyFont="1" applyFill="1" applyBorder="1" applyAlignment="1">
      <alignment horizontal="right" vertical="center"/>
    </xf>
    <xf numFmtId="165" fontId="7" fillId="4" borderId="14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7" fillId="2" borderId="1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2" borderId="13" xfId="2" applyNumberFormat="1" applyFont="1" applyFill="1" applyBorder="1" applyAlignment="1">
      <alignment horizontal="right" vertical="center"/>
    </xf>
    <xf numFmtId="165" fontId="7" fillId="4" borderId="0" xfId="2" applyNumberFormat="1" applyFont="1" applyFill="1" applyAlignment="1">
      <alignment horizontal="right" vertical="center"/>
    </xf>
    <xf numFmtId="0" fontId="8" fillId="2" borderId="0" xfId="0" quotePrefix="1" applyFont="1" applyFill="1" applyAlignment="1">
      <alignment vertical="center" wrapText="1"/>
    </xf>
    <xf numFmtId="165" fontId="8" fillId="4" borderId="0" xfId="2" applyNumberFormat="1" applyFont="1" applyFill="1" applyAlignment="1">
      <alignment horizontal="right" vertical="center"/>
    </xf>
    <xf numFmtId="165" fontId="8" fillId="4" borderId="4" xfId="2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165" fontId="8" fillId="4" borderId="5" xfId="2" applyNumberFormat="1" applyFont="1" applyFill="1" applyBorder="1" applyAlignment="1">
      <alignment horizontal="right" vertical="center"/>
    </xf>
    <xf numFmtId="165" fontId="8" fillId="2" borderId="4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right" vertical="center"/>
    </xf>
    <xf numFmtId="165" fontId="8" fillId="2" borderId="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65" fontId="7" fillId="3" borderId="7" xfId="2" applyNumberFormat="1" applyFont="1" applyFill="1" applyBorder="1" applyAlignment="1">
      <alignment horizontal="right" vertical="center"/>
    </xf>
    <xf numFmtId="165" fontId="7" fillId="3" borderId="0" xfId="2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165" fontId="9" fillId="3" borderId="6" xfId="2" applyNumberFormat="1" applyFont="1" applyFill="1" applyBorder="1" applyAlignment="1">
      <alignment horizontal="right" vertical="center"/>
    </xf>
    <xf numFmtId="165" fontId="9" fillId="2" borderId="17" xfId="2" applyNumberFormat="1" applyFont="1" applyFill="1" applyBorder="1" applyAlignment="1">
      <alignment horizontal="right" vertical="center"/>
    </xf>
    <xf numFmtId="165" fontId="9" fillId="2" borderId="6" xfId="2" applyNumberFormat="1" applyFont="1" applyFill="1" applyBorder="1" applyAlignment="1">
      <alignment horizontal="right" vertical="center"/>
    </xf>
    <xf numFmtId="165" fontId="9" fillId="2" borderId="18" xfId="2" applyNumberFormat="1" applyFont="1" applyFill="1" applyBorder="1" applyAlignment="1">
      <alignment horizontal="right" vertical="center"/>
    </xf>
    <xf numFmtId="165" fontId="9" fillId="3" borderId="0" xfId="2" applyNumberFormat="1" applyFont="1" applyFill="1" applyAlignment="1">
      <alignment horizontal="right" vertical="center"/>
    </xf>
    <xf numFmtId="165" fontId="9" fillId="2" borderId="2" xfId="2" applyNumberFormat="1" applyFont="1" applyFill="1" applyBorder="1" applyAlignment="1">
      <alignment horizontal="right" vertical="center"/>
    </xf>
    <xf numFmtId="165" fontId="9" fillId="2" borderId="0" xfId="2" applyNumberFormat="1" applyFont="1" applyFill="1" applyAlignment="1">
      <alignment horizontal="right" vertical="center"/>
    </xf>
    <xf numFmtId="165" fontId="9" fillId="2" borderId="3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7" fillId="2" borderId="23" xfId="2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5" fontId="8" fillId="3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3" borderId="1" xfId="2" applyNumberFormat="1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13" fillId="7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3" fontId="7" fillId="7" borderId="0" xfId="0" applyNumberFormat="1" applyFont="1" applyFill="1" applyAlignment="1">
      <alignment vertical="center"/>
    </xf>
    <xf numFmtId="3" fontId="8" fillId="7" borderId="0" xfId="0" applyNumberFormat="1" applyFont="1" applyFill="1" applyAlignment="1">
      <alignment vertical="center"/>
    </xf>
    <xf numFmtId="3" fontId="9" fillId="7" borderId="1" xfId="0" applyNumberFormat="1" applyFont="1" applyFill="1" applyBorder="1" applyAlignment="1">
      <alignment vertical="center"/>
    </xf>
    <xf numFmtId="165" fontId="9" fillId="8" borderId="1" xfId="2" applyNumberFormat="1" applyFont="1" applyFill="1" applyBorder="1" applyAlignment="1">
      <alignment horizontal="right" vertical="center"/>
    </xf>
    <xf numFmtId="3" fontId="13" fillId="7" borderId="0" xfId="0" applyNumberFormat="1" applyFont="1" applyFill="1" applyAlignment="1">
      <alignment vertical="center"/>
    </xf>
    <xf numFmtId="3" fontId="9" fillId="7" borderId="6" xfId="0" applyNumberFormat="1" applyFont="1" applyFill="1" applyBorder="1" applyAlignment="1">
      <alignment vertical="center"/>
    </xf>
    <xf numFmtId="0" fontId="7" fillId="7" borderId="0" xfId="0" applyFont="1" applyFill="1" applyAlignment="1">
      <alignment horizontal="right" vertical="center"/>
    </xf>
    <xf numFmtId="165" fontId="9" fillId="7" borderId="6" xfId="2" applyNumberFormat="1" applyFont="1" applyFill="1" applyBorder="1" applyAlignment="1">
      <alignment horizontal="right" vertical="center"/>
    </xf>
    <xf numFmtId="166" fontId="18" fillId="7" borderId="0" xfId="3" applyNumberFormat="1" applyFont="1" applyFill="1"/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4">
    <cellStyle name="Dziesiętny" xfId="3" builtinId="3"/>
    <cellStyle name="Excel Built-in Normal 2" xfId="2" xr:uid="{00000000-0005-0000-0000-000000000000}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Z5731"/>
  <sheetViews>
    <sheetView zoomScaleNormal="100" workbookViewId="0">
      <pane xSplit="2" ySplit="5" topLeftCell="C6" activePane="bottomRight" state="frozen"/>
      <selection activeCell="D15" sqref="D15"/>
      <selection pane="topRight" activeCell="D15" sqref="D15"/>
      <selection pane="bottomLeft" activeCell="D15" sqref="D15"/>
      <selection pane="bottomRight" activeCell="C3" sqref="C1:C1048576"/>
    </sheetView>
  </sheetViews>
  <sheetFormatPr defaultColWidth="8.7265625" defaultRowHeight="14" outlineLevelRow="1"/>
  <cols>
    <col min="1" max="1" width="1.1796875" style="26" customWidth="1"/>
    <col min="2" max="2" width="54.54296875" style="66" customWidth="1"/>
    <col min="3" max="15" width="13.54296875" style="66" customWidth="1"/>
    <col min="16" max="858" width="9.1796875" style="26" customWidth="1"/>
    <col min="859" max="16384" width="8.7265625" style="66"/>
  </cols>
  <sheetData>
    <row r="1" spans="2:16" s="26" customFormat="1" ht="19.5" customHeight="1">
      <c r="B1" s="117" t="s">
        <v>53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"/>
    </row>
    <row r="2" spans="2:16" s="26" customFormat="1" ht="19.5" customHeight="1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"/>
    </row>
    <row r="3" spans="2:16" s="26" customFormat="1"/>
    <row r="4" spans="2:16" ht="6" customHeight="1">
      <c r="B4" s="119" t="s">
        <v>65</v>
      </c>
      <c r="C4" s="2"/>
      <c r="D4" s="2"/>
      <c r="E4" s="2"/>
      <c r="F4" s="2"/>
      <c r="G4" s="2"/>
      <c r="H4" s="2"/>
      <c r="I4" s="2"/>
      <c r="J4" s="2"/>
      <c r="K4" s="2"/>
      <c r="L4" s="121"/>
      <c r="M4" s="121"/>
      <c r="N4" s="121"/>
      <c r="O4" s="121"/>
    </row>
    <row r="5" spans="2:16" ht="23">
      <c r="B5" s="120"/>
      <c r="C5" s="15" t="s">
        <v>155</v>
      </c>
      <c r="D5" s="3" t="s">
        <v>119</v>
      </c>
      <c r="E5" s="3" t="s">
        <v>111</v>
      </c>
      <c r="F5" s="3" t="s">
        <v>112</v>
      </c>
      <c r="G5" s="3" t="s">
        <v>98</v>
      </c>
      <c r="H5" s="3" t="s">
        <v>92</v>
      </c>
      <c r="I5" s="3" t="s">
        <v>82</v>
      </c>
      <c r="J5" s="3" t="s">
        <v>74</v>
      </c>
      <c r="K5" s="3" t="s">
        <v>64</v>
      </c>
      <c r="L5" s="3" t="s">
        <v>22</v>
      </c>
      <c r="M5" s="4" t="s">
        <v>19</v>
      </c>
      <c r="N5" s="4" t="s">
        <v>20</v>
      </c>
      <c r="O5" s="4" t="s">
        <v>21</v>
      </c>
    </row>
    <row r="6" spans="2:16" s="26" customFormat="1">
      <c r="B6" s="19" t="s">
        <v>0</v>
      </c>
      <c r="C6" s="16">
        <f>SUM(C7:C15)</f>
        <v>2044582</v>
      </c>
      <c r="D6" s="25">
        <f>SUM(D7:D15)</f>
        <v>1800575</v>
      </c>
      <c r="E6" s="25">
        <f t="shared" ref="E6:N6" si="0">SUM(E7:E15)</f>
        <v>1574491</v>
      </c>
      <c r="F6" s="25">
        <f t="shared" si="0"/>
        <v>1437160</v>
      </c>
      <c r="G6" s="25">
        <f t="shared" si="0"/>
        <v>618453</v>
      </c>
      <c r="H6" s="25">
        <f t="shared" si="0"/>
        <v>792788</v>
      </c>
      <c r="I6" s="25">
        <f t="shared" si="0"/>
        <v>233106</v>
      </c>
      <c r="J6" s="25">
        <f t="shared" si="0"/>
        <v>281473</v>
      </c>
      <c r="K6" s="25">
        <f t="shared" si="0"/>
        <v>269188</v>
      </c>
      <c r="L6" s="25">
        <f t="shared" si="0"/>
        <v>245216</v>
      </c>
      <c r="M6" s="25">
        <f t="shared" si="0"/>
        <v>274671</v>
      </c>
      <c r="N6" s="25">
        <f t="shared" si="0"/>
        <v>197785</v>
      </c>
      <c r="O6" s="25">
        <f>SUM(O7:O15)</f>
        <v>209884</v>
      </c>
    </row>
    <row r="7" spans="2:16" s="43" customFormat="1" ht="14.5" hidden="1" outlineLevel="1">
      <c r="B7" s="27" t="s">
        <v>122</v>
      </c>
      <c r="C7" s="91">
        <v>923714</v>
      </c>
      <c r="D7" s="33">
        <v>896672</v>
      </c>
      <c r="E7" s="33">
        <v>650847</v>
      </c>
      <c r="F7" s="33">
        <v>501314</v>
      </c>
      <c r="G7" s="33">
        <v>313948</v>
      </c>
      <c r="H7" s="33">
        <v>263949</v>
      </c>
      <c r="I7" s="33">
        <v>12021</v>
      </c>
      <c r="J7" s="33">
        <v>69499</v>
      </c>
      <c r="K7" s="33">
        <f>SUM('SPRAW. Z DOCH. CAŁK.-kwartalnie'!AJ7:AM7)</f>
        <v>33098</v>
      </c>
      <c r="L7" s="33">
        <v>58069</v>
      </c>
      <c r="M7" s="33">
        <v>72776</v>
      </c>
      <c r="N7" s="33">
        <v>81163</v>
      </c>
      <c r="O7" s="33">
        <v>62657</v>
      </c>
    </row>
    <row r="8" spans="2:16" s="43" customFormat="1" ht="14.5" hidden="1" outlineLevel="1">
      <c r="B8" s="27" t="s">
        <v>123</v>
      </c>
      <c r="C8" s="91">
        <v>760736</v>
      </c>
      <c r="D8" s="33">
        <v>622728</v>
      </c>
      <c r="E8" s="33">
        <v>781285</v>
      </c>
      <c r="F8" s="33">
        <v>687424</v>
      </c>
      <c r="G8" s="33">
        <v>209304</v>
      </c>
      <c r="H8" s="33">
        <v>425917</v>
      </c>
      <c r="I8" s="33">
        <v>175116</v>
      </c>
      <c r="J8" s="33">
        <v>141924</v>
      </c>
      <c r="K8" s="33">
        <f>SUM('SPRAW. Z DOCH. CAŁK.-kwartalnie'!AJ8:AM8)</f>
        <v>168852</v>
      </c>
      <c r="L8" s="33">
        <v>117756</v>
      </c>
      <c r="M8" s="33">
        <v>118248</v>
      </c>
      <c r="N8" s="33">
        <v>82003</v>
      </c>
      <c r="O8" s="33">
        <v>63986</v>
      </c>
    </row>
    <row r="9" spans="2:16" s="43" customFormat="1" ht="14.5" hidden="1" outlineLevel="1">
      <c r="B9" s="27" t="s">
        <v>124</v>
      </c>
      <c r="C9" s="91">
        <v>290408</v>
      </c>
      <c r="D9" s="33">
        <v>272276</v>
      </c>
      <c r="E9" s="33">
        <v>165161</v>
      </c>
      <c r="F9" s="33">
        <v>251429</v>
      </c>
      <c r="G9" s="33">
        <v>79761</v>
      </c>
      <c r="H9" s="33">
        <v>91951</v>
      </c>
      <c r="I9" s="33">
        <v>42624</v>
      </c>
      <c r="J9" s="33">
        <v>67192</v>
      </c>
      <c r="K9" s="33">
        <f>SUM('SPRAW. Z DOCH. CAŁK.-kwartalnie'!AJ9:AM9)</f>
        <v>67659</v>
      </c>
      <c r="L9" s="33">
        <v>71385</v>
      </c>
      <c r="M9" s="33">
        <v>90914</v>
      </c>
      <c r="N9" s="33">
        <v>40725</v>
      </c>
      <c r="O9" s="33">
        <v>104538</v>
      </c>
    </row>
    <row r="10" spans="2:16" s="43" customFormat="1" ht="14.5" hidden="1" outlineLevel="1">
      <c r="B10" s="27" t="s">
        <v>158</v>
      </c>
      <c r="C10" s="91">
        <v>60047</v>
      </c>
      <c r="D10" s="33">
        <v>44762</v>
      </c>
      <c r="E10" s="33">
        <v>24261</v>
      </c>
      <c r="F10" s="33">
        <v>36816</v>
      </c>
      <c r="G10" s="33">
        <v>34885</v>
      </c>
      <c r="H10" s="33">
        <v>12885</v>
      </c>
      <c r="I10" s="33">
        <v>2313</v>
      </c>
      <c r="J10" s="33">
        <v>2878</v>
      </c>
      <c r="K10" s="33">
        <f>SUM('SPRAW. Z DOCH. CAŁK.-kwartalnie'!AJ10:AM10)</f>
        <v>1899</v>
      </c>
      <c r="L10" s="33">
        <v>1454</v>
      </c>
      <c r="M10" s="33">
        <v>114</v>
      </c>
      <c r="N10" s="33">
        <v>960</v>
      </c>
      <c r="O10" s="33">
        <v>1983</v>
      </c>
    </row>
    <row r="11" spans="2:16" s="43" customFormat="1" ht="14.5" hidden="1" outlineLevel="1">
      <c r="B11" s="27" t="s">
        <v>125</v>
      </c>
      <c r="C11" s="91">
        <v>101</v>
      </c>
      <c r="D11" s="33">
        <v>735</v>
      </c>
      <c r="E11" s="33">
        <v>1079</v>
      </c>
      <c r="F11" s="33">
        <v>796</v>
      </c>
      <c r="G11" s="33">
        <v>223</v>
      </c>
      <c r="H11" s="33">
        <v>198</v>
      </c>
      <c r="I11" s="33">
        <v>771</v>
      </c>
      <c r="J11" s="33">
        <v>589</v>
      </c>
      <c r="K11" s="33">
        <f>SUM('SPRAW. Z DOCH. CAŁK.-kwartalnie'!AJ11:AM11)</f>
        <v>-83</v>
      </c>
      <c r="L11" s="33">
        <v>1116</v>
      </c>
      <c r="M11" s="33">
        <v>559</v>
      </c>
      <c r="N11" s="33">
        <v>1170</v>
      </c>
      <c r="O11" s="33">
        <v>47</v>
      </c>
    </row>
    <row r="12" spans="2:16" s="43" customFormat="1" ht="14.5" hidden="1" outlineLevel="1">
      <c r="B12" s="27" t="s">
        <v>139</v>
      </c>
      <c r="C12" s="92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3947</v>
      </c>
      <c r="K12" s="33">
        <f>SUM('SPRAW. Z DOCH. CAŁK.-kwartalnie'!AJ12:AM12)</f>
        <v>6884</v>
      </c>
      <c r="L12" s="33">
        <v>5332</v>
      </c>
      <c r="M12" s="33">
        <v>2970</v>
      </c>
      <c r="N12" s="33">
        <v>2518</v>
      </c>
      <c r="O12" s="33">
        <v>1336</v>
      </c>
    </row>
    <row r="13" spans="2:16" s="43" customFormat="1" ht="14.5" hidden="1" outlineLevel="1">
      <c r="B13" s="27" t="s">
        <v>159</v>
      </c>
      <c r="C13" s="91">
        <v>78310</v>
      </c>
      <c r="D13" s="33">
        <v>30654</v>
      </c>
      <c r="E13" s="33">
        <v>11050</v>
      </c>
      <c r="F13" s="33">
        <v>3494</v>
      </c>
      <c r="G13" s="33">
        <v>-689</v>
      </c>
      <c r="H13" s="33">
        <v>4988</v>
      </c>
      <c r="I13" s="33">
        <v>1199</v>
      </c>
      <c r="J13" s="33">
        <v>99</v>
      </c>
      <c r="K13" s="33">
        <f>SUM('SPRAW. Z DOCH. CAŁK.-kwartalnie'!AJ13:AM13)</f>
        <v>0</v>
      </c>
      <c r="L13" s="33">
        <v>0</v>
      </c>
      <c r="M13" s="33">
        <v>0</v>
      </c>
      <c r="N13" s="33">
        <v>-11</v>
      </c>
      <c r="O13" s="33">
        <v>-30</v>
      </c>
    </row>
    <row r="14" spans="2:16" s="43" customFormat="1" ht="14.5" hidden="1" outlineLevel="1">
      <c r="B14" s="27" t="s">
        <v>126</v>
      </c>
      <c r="C14" s="92">
        <v>-17328</v>
      </c>
      <c r="D14" s="33">
        <v>-12629</v>
      </c>
      <c r="E14" s="33">
        <v>-9428</v>
      </c>
      <c r="F14" s="33">
        <v>-5653</v>
      </c>
      <c r="G14" s="33">
        <v>-2700</v>
      </c>
      <c r="H14" s="33">
        <v>-1580</v>
      </c>
      <c r="I14" s="33">
        <v>-300</v>
      </c>
      <c r="J14" s="33">
        <v>-3363</v>
      </c>
      <c r="K14" s="33">
        <f>SUM('SPRAW. Z DOCH. CAŁK.-kwartalnie'!AJ14:AM14)</f>
        <v>-3421</v>
      </c>
      <c r="L14" s="33">
        <v>-3531</v>
      </c>
      <c r="M14" s="33">
        <v>-6136</v>
      </c>
      <c r="N14" s="33">
        <v>-6514</v>
      </c>
      <c r="O14" s="33">
        <v>-1864</v>
      </c>
    </row>
    <row r="15" spans="2:16" s="43" customFormat="1" ht="14.5" hidden="1" outlineLevel="1">
      <c r="B15" s="27" t="s">
        <v>127</v>
      </c>
      <c r="C15" s="92">
        <v>-51406</v>
      </c>
      <c r="D15" s="33">
        <v>-54623</v>
      </c>
      <c r="E15" s="33">
        <v>-49764</v>
      </c>
      <c r="F15" s="33">
        <v>-38460</v>
      </c>
      <c r="G15" s="33">
        <v>-16279</v>
      </c>
      <c r="H15" s="33">
        <v>-5520</v>
      </c>
      <c r="I15" s="33">
        <v>-638</v>
      </c>
      <c r="J15" s="33">
        <v>-1292</v>
      </c>
      <c r="K15" s="33">
        <f>SUM('SPRAW. Z DOCH. CAŁK.-kwartalnie'!AJ15:AM15)</f>
        <v>-5700</v>
      </c>
      <c r="L15" s="33">
        <v>-6365</v>
      </c>
      <c r="M15" s="33">
        <v>-4774</v>
      </c>
      <c r="N15" s="33">
        <v>-4229</v>
      </c>
      <c r="O15" s="33">
        <v>-22769</v>
      </c>
    </row>
    <row r="16" spans="2:16" s="26" customFormat="1" collapsed="1">
      <c r="B16" s="19" t="s">
        <v>150</v>
      </c>
      <c r="C16" s="16">
        <f t="shared" ref="C16:N16" si="1">SUM(C17:C18)</f>
        <v>77989</v>
      </c>
      <c r="D16" s="25">
        <f t="shared" ref="D16" si="2">SUM(D17:D18)</f>
        <v>58946</v>
      </c>
      <c r="E16" s="25">
        <f t="shared" si="1"/>
        <v>30079</v>
      </c>
      <c r="F16" s="25">
        <f t="shared" si="1"/>
        <v>7705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>SUM(O17:O18)</f>
        <v>0</v>
      </c>
    </row>
    <row r="17" spans="2:16" s="43" customFormat="1" ht="14.5" hidden="1" outlineLevel="1">
      <c r="B17" s="27" t="s">
        <v>128</v>
      </c>
      <c r="C17" s="91">
        <v>140129</v>
      </c>
      <c r="D17" s="33">
        <v>105568</v>
      </c>
      <c r="E17" s="33">
        <v>34061</v>
      </c>
      <c r="F17" s="33">
        <v>7705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</row>
    <row r="18" spans="2:16" s="43" customFormat="1" ht="14.5" hidden="1" outlineLevel="1">
      <c r="B18" s="27" t="s">
        <v>129</v>
      </c>
      <c r="C18" s="92">
        <v>-62140</v>
      </c>
      <c r="D18" s="33">
        <v>-46622</v>
      </c>
      <c r="E18" s="33">
        <v>-3982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</row>
    <row r="19" spans="2:16" s="26" customFormat="1" collapsed="1">
      <c r="B19" s="19" t="s">
        <v>1</v>
      </c>
      <c r="C19" s="16">
        <v>20287</v>
      </c>
      <c r="D19" s="25">
        <v>12291</v>
      </c>
      <c r="E19" s="25">
        <v>11730</v>
      </c>
      <c r="F19" s="25">
        <v>7020</v>
      </c>
      <c r="G19" s="25">
        <v>5034</v>
      </c>
      <c r="H19" s="25">
        <v>4839</v>
      </c>
      <c r="I19" s="25">
        <v>5629</v>
      </c>
      <c r="J19" s="25">
        <v>6651</v>
      </c>
      <c r="K19" s="25">
        <v>4457</v>
      </c>
      <c r="L19" s="25">
        <v>5284</v>
      </c>
      <c r="M19" s="25">
        <v>5754</v>
      </c>
      <c r="N19" s="25">
        <v>6071</v>
      </c>
      <c r="O19" s="25">
        <v>4992</v>
      </c>
    </row>
    <row r="20" spans="2:16" s="26" customFormat="1">
      <c r="B20" s="19" t="s">
        <v>2</v>
      </c>
      <c r="C20" s="16">
        <v>3198</v>
      </c>
      <c r="D20" s="25">
        <v>1624</v>
      </c>
      <c r="E20" s="25">
        <v>2085</v>
      </c>
      <c r="F20" s="25">
        <v>69</v>
      </c>
      <c r="G20" s="25">
        <v>2108</v>
      </c>
      <c r="H20" s="25">
        <v>123</v>
      </c>
      <c r="I20" s="25">
        <v>569</v>
      </c>
      <c r="J20" s="25">
        <v>177</v>
      </c>
      <c r="K20" s="25">
        <v>122</v>
      </c>
      <c r="L20" s="25">
        <v>76</v>
      </c>
      <c r="M20" s="25">
        <v>2117</v>
      </c>
      <c r="N20" s="25">
        <v>578</v>
      </c>
      <c r="O20" s="25">
        <v>683</v>
      </c>
    </row>
    <row r="21" spans="2:16" s="26" customFormat="1">
      <c r="B21" s="34" t="s">
        <v>3</v>
      </c>
      <c r="C21" s="35">
        <f>SUM(C6,C16,C19:C20)</f>
        <v>2146056</v>
      </c>
      <c r="D21" s="37">
        <f>SUM(D6,D16,D19:D20)</f>
        <v>1873436</v>
      </c>
      <c r="E21" s="37">
        <f t="shared" ref="E21:O21" si="3">SUM(E6,E16,E19:E20)</f>
        <v>1618385</v>
      </c>
      <c r="F21" s="37">
        <f t="shared" si="3"/>
        <v>1451954</v>
      </c>
      <c r="G21" s="37">
        <f t="shared" si="3"/>
        <v>625595</v>
      </c>
      <c r="H21" s="37">
        <f t="shared" si="3"/>
        <v>797750</v>
      </c>
      <c r="I21" s="37">
        <f t="shared" si="3"/>
        <v>239304</v>
      </c>
      <c r="J21" s="37">
        <f t="shared" si="3"/>
        <v>288301</v>
      </c>
      <c r="K21" s="37">
        <f t="shared" si="3"/>
        <v>273767</v>
      </c>
      <c r="L21" s="37">
        <f t="shared" si="3"/>
        <v>250576</v>
      </c>
      <c r="M21" s="37">
        <f t="shared" si="3"/>
        <v>282542</v>
      </c>
      <c r="N21" s="37">
        <f t="shared" si="3"/>
        <v>204434</v>
      </c>
      <c r="O21" s="37">
        <f t="shared" si="3"/>
        <v>215559</v>
      </c>
    </row>
    <row r="22" spans="2:16" s="26" customFormat="1" ht="7.5" customHeight="1">
      <c r="B22" s="19"/>
      <c r="C22" s="17"/>
      <c r="D22" s="19"/>
      <c r="E22" s="19"/>
      <c r="F22" s="19"/>
      <c r="G22" s="19"/>
      <c r="H22" s="19"/>
      <c r="I22" s="19"/>
      <c r="J22" s="25"/>
      <c r="K22" s="25"/>
      <c r="L22" s="25"/>
      <c r="M22" s="25"/>
      <c r="N22" s="25"/>
      <c r="O22" s="25"/>
    </row>
    <row r="23" spans="2:16" s="26" customFormat="1">
      <c r="B23" s="19" t="s">
        <v>5</v>
      </c>
      <c r="C23" s="18">
        <v>-584898</v>
      </c>
      <c r="D23" s="25">
        <v>-344808</v>
      </c>
      <c r="E23" s="25">
        <v>-263924</v>
      </c>
      <c r="F23" s="25">
        <v>-222369</v>
      </c>
      <c r="G23" s="25">
        <v>-120101</v>
      </c>
      <c r="H23" s="25">
        <v>-87731</v>
      </c>
      <c r="I23" s="25">
        <v>-37716</v>
      </c>
      <c r="J23" s="25">
        <v>-33322</v>
      </c>
      <c r="K23" s="25">
        <v>-24841</v>
      </c>
      <c r="L23" s="25">
        <v>-49338</v>
      </c>
      <c r="M23" s="25">
        <v>-28181</v>
      </c>
      <c r="N23" s="25">
        <v>-23584</v>
      </c>
      <c r="O23" s="25">
        <v>-19176</v>
      </c>
    </row>
    <row r="24" spans="2:16" s="26" customFormat="1">
      <c r="B24" s="19" t="s">
        <v>4</v>
      </c>
      <c r="C24" s="18">
        <v>-413019</v>
      </c>
      <c r="D24" s="25">
        <v>-311574</v>
      </c>
      <c r="E24" s="25">
        <v>-259140</v>
      </c>
      <c r="F24" s="25">
        <v>-192027</v>
      </c>
      <c r="G24" s="25">
        <v>-131262</v>
      </c>
      <c r="H24" s="25">
        <v>-119141</v>
      </c>
      <c r="I24" s="25">
        <v>-86024</v>
      </c>
      <c r="J24" s="25">
        <v>-78478</v>
      </c>
      <c r="K24" s="25">
        <v>-73150</v>
      </c>
      <c r="L24" s="25">
        <v>-71864</v>
      </c>
      <c r="M24" s="25">
        <v>-68127</v>
      </c>
      <c r="N24" s="25">
        <v>-54994</v>
      </c>
      <c r="O24" s="25">
        <v>-49295</v>
      </c>
      <c r="P24" s="39"/>
    </row>
    <row r="25" spans="2:16" s="26" customFormat="1">
      <c r="B25" s="19" t="s">
        <v>10</v>
      </c>
      <c r="C25" s="18">
        <v>-107415</v>
      </c>
      <c r="D25" s="25">
        <v>-97289</v>
      </c>
      <c r="E25" s="25">
        <v>-61816</v>
      </c>
      <c r="F25" s="25">
        <v>-54365</v>
      </c>
      <c r="G25" s="25">
        <v>-36187</v>
      </c>
      <c r="H25" s="25">
        <v>-22539</v>
      </c>
      <c r="I25" s="25">
        <v>-8329</v>
      </c>
      <c r="J25" s="25">
        <v>-7627</v>
      </c>
      <c r="K25" s="25">
        <v>-5964</v>
      </c>
      <c r="L25" s="25">
        <v>-4182</v>
      </c>
      <c r="M25" s="25">
        <v>-3915</v>
      </c>
      <c r="N25" s="25">
        <v>-3914</v>
      </c>
      <c r="O25" s="25">
        <v>-3588</v>
      </c>
    </row>
    <row r="26" spans="2:16" s="26" customFormat="1">
      <c r="B26" s="19" t="s">
        <v>6</v>
      </c>
      <c r="C26" s="18">
        <v>-132846</v>
      </c>
      <c r="D26" s="25">
        <v>-79226</v>
      </c>
      <c r="E26" s="25">
        <v>-64141</v>
      </c>
      <c r="F26" s="25">
        <v>-49967</v>
      </c>
      <c r="G26" s="25">
        <v>-38434</v>
      </c>
      <c r="H26" s="25">
        <v>-29443</v>
      </c>
      <c r="I26" s="25">
        <v>-24638</v>
      </c>
      <c r="J26" s="25">
        <v>-24909</v>
      </c>
      <c r="K26" s="25">
        <v>-21943</v>
      </c>
      <c r="L26" s="25">
        <v>-20620</v>
      </c>
      <c r="M26" s="25">
        <v>-18660</v>
      </c>
      <c r="N26" s="25">
        <v>-17553</v>
      </c>
      <c r="O26" s="25">
        <v>-20276</v>
      </c>
      <c r="P26" s="39"/>
    </row>
    <row r="27" spans="2:16" s="26" customFormat="1">
      <c r="B27" s="19" t="s">
        <v>8</v>
      </c>
      <c r="C27" s="18">
        <v>-25405</v>
      </c>
      <c r="D27" s="25">
        <v>-19905</v>
      </c>
      <c r="E27" s="25">
        <v>-17197</v>
      </c>
      <c r="F27" s="25">
        <v>-11997</v>
      </c>
      <c r="G27" s="25">
        <v>-8921</v>
      </c>
      <c r="H27" s="25">
        <v>-7753</v>
      </c>
      <c r="I27" s="25">
        <v>-6753</v>
      </c>
      <c r="J27" s="25">
        <v>-3931</v>
      </c>
      <c r="K27" s="25">
        <v>-6054</v>
      </c>
      <c r="L27" s="25">
        <v>-5423</v>
      </c>
      <c r="M27" s="25">
        <v>-5804</v>
      </c>
      <c r="N27" s="25">
        <v>-5746</v>
      </c>
      <c r="O27" s="25">
        <v>-3888</v>
      </c>
    </row>
    <row r="28" spans="2:16" s="26" customFormat="1">
      <c r="B28" s="19" t="s">
        <v>9</v>
      </c>
      <c r="C28" s="18">
        <v>-15955</v>
      </c>
      <c r="D28" s="25">
        <v>-13109</v>
      </c>
      <c r="E28" s="25">
        <v>-9712</v>
      </c>
      <c r="F28" s="25">
        <v>-8614</v>
      </c>
      <c r="G28" s="25">
        <v>-5373</v>
      </c>
      <c r="H28" s="25">
        <v>-3723</v>
      </c>
      <c r="I28" s="25">
        <v>-2950</v>
      </c>
      <c r="J28" s="25">
        <v>-2340</v>
      </c>
      <c r="K28" s="25">
        <v>-2059</v>
      </c>
      <c r="L28" s="25">
        <v>-2597</v>
      </c>
      <c r="M28" s="25">
        <v>-1824</v>
      </c>
      <c r="N28" s="25">
        <v>-1933</v>
      </c>
      <c r="O28" s="25">
        <v>-724</v>
      </c>
    </row>
    <row r="29" spans="2:16" s="26" customFormat="1">
      <c r="B29" s="19" t="s">
        <v>7</v>
      </c>
      <c r="C29" s="18">
        <v>-10559</v>
      </c>
      <c r="D29" s="25">
        <v>-7999</v>
      </c>
      <c r="E29" s="25">
        <v>-7528</v>
      </c>
      <c r="F29" s="25">
        <v>-7668</v>
      </c>
      <c r="G29" s="25">
        <v>-4407</v>
      </c>
      <c r="H29" s="25">
        <v>-3788</v>
      </c>
      <c r="I29" s="25">
        <v>-3158</v>
      </c>
      <c r="J29" s="25">
        <v>-7815</v>
      </c>
      <c r="K29" s="25">
        <v>-7934</v>
      </c>
      <c r="L29" s="25">
        <v>-8698</v>
      </c>
      <c r="M29" s="25">
        <v>-7898</v>
      </c>
      <c r="N29" s="25">
        <v>-6815</v>
      </c>
      <c r="O29" s="25">
        <v>-6520</v>
      </c>
    </row>
    <row r="30" spans="2:16" s="26" customFormat="1">
      <c r="B30" s="19" t="s">
        <v>11</v>
      </c>
      <c r="C30" s="18">
        <v>-23580</v>
      </c>
      <c r="D30" s="25">
        <v>-12791</v>
      </c>
      <c r="E30" s="25">
        <v>-10773</v>
      </c>
      <c r="F30" s="25">
        <v>-11560</v>
      </c>
      <c r="G30" s="25">
        <v>-4087</v>
      </c>
      <c r="H30" s="25">
        <v>-7886</v>
      </c>
      <c r="I30" s="25">
        <v>-4324</v>
      </c>
      <c r="J30" s="25">
        <v>-14070</v>
      </c>
      <c r="K30" s="25">
        <v>-3552</v>
      </c>
      <c r="L30" s="25">
        <v>-5739</v>
      </c>
      <c r="M30" s="25">
        <v>-7063</v>
      </c>
      <c r="N30" s="25">
        <v>-3517</v>
      </c>
      <c r="O30" s="25">
        <v>-5825</v>
      </c>
    </row>
    <row r="31" spans="2:16" s="26" customFormat="1">
      <c r="B31" s="34" t="s">
        <v>12</v>
      </c>
      <c r="C31" s="35">
        <f>SUM(C23:C30)</f>
        <v>-1313677</v>
      </c>
      <c r="D31" s="37">
        <f>SUM(D23:D30)</f>
        <v>-886701</v>
      </c>
      <c r="E31" s="37">
        <f>SUM(E23:E30)</f>
        <v>-694231</v>
      </c>
      <c r="F31" s="37">
        <f>SUM(F23:F30)</f>
        <v>-558567</v>
      </c>
      <c r="G31" s="37">
        <f>SUM(G23:G30)</f>
        <v>-348772</v>
      </c>
      <c r="H31" s="37">
        <f t="shared" ref="H31:O31" si="4">SUM(H23:H30)</f>
        <v>-282004</v>
      </c>
      <c r="I31" s="37">
        <f t="shared" si="4"/>
        <v>-173892</v>
      </c>
      <c r="J31" s="37">
        <f t="shared" si="4"/>
        <v>-172492</v>
      </c>
      <c r="K31" s="37">
        <f t="shared" si="4"/>
        <v>-145497</v>
      </c>
      <c r="L31" s="37">
        <f t="shared" si="4"/>
        <v>-168461</v>
      </c>
      <c r="M31" s="37">
        <f t="shared" si="4"/>
        <v>-141472</v>
      </c>
      <c r="N31" s="37">
        <f t="shared" si="4"/>
        <v>-118056</v>
      </c>
      <c r="O31" s="37">
        <f t="shared" si="4"/>
        <v>-109292</v>
      </c>
    </row>
    <row r="32" spans="2:16" s="26" customFormat="1">
      <c r="B32" s="34" t="s">
        <v>13</v>
      </c>
      <c r="C32" s="35">
        <f t="shared" ref="C32:E32" si="5">SUM(C21,C31:C31)</f>
        <v>832379</v>
      </c>
      <c r="D32" s="37">
        <f t="shared" ref="D32" si="6">SUM(D21,D31:D31)</f>
        <v>986735</v>
      </c>
      <c r="E32" s="37">
        <f t="shared" si="5"/>
        <v>924154</v>
      </c>
      <c r="F32" s="37">
        <f t="shared" ref="F32:O32" si="7">SUM(F21,F31:F31)</f>
        <v>893387</v>
      </c>
      <c r="G32" s="37">
        <f t="shared" si="7"/>
        <v>276823</v>
      </c>
      <c r="H32" s="37">
        <f t="shared" si="7"/>
        <v>515746</v>
      </c>
      <c r="I32" s="37">
        <f t="shared" si="7"/>
        <v>65412</v>
      </c>
      <c r="J32" s="37">
        <f t="shared" si="7"/>
        <v>115809</v>
      </c>
      <c r="K32" s="37">
        <f t="shared" si="7"/>
        <v>128270</v>
      </c>
      <c r="L32" s="37">
        <f t="shared" si="7"/>
        <v>82115</v>
      </c>
      <c r="M32" s="37">
        <f t="shared" si="7"/>
        <v>141070</v>
      </c>
      <c r="N32" s="37">
        <f t="shared" si="7"/>
        <v>86378</v>
      </c>
      <c r="O32" s="37">
        <f t="shared" si="7"/>
        <v>106267</v>
      </c>
    </row>
    <row r="33" spans="2:15" s="26" customFormat="1">
      <c r="B33" s="49" t="s">
        <v>23</v>
      </c>
      <c r="C33" s="50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55">
        <v>0</v>
      </c>
      <c r="K33" s="55">
        <v>-5612</v>
      </c>
      <c r="L33" s="55">
        <v>0</v>
      </c>
      <c r="M33" s="55">
        <v>0</v>
      </c>
      <c r="N33" s="55">
        <v>0</v>
      </c>
      <c r="O33" s="55">
        <v>0</v>
      </c>
    </row>
    <row r="34" spans="2:15" s="26" customFormat="1">
      <c r="B34" s="19" t="s">
        <v>14</v>
      </c>
      <c r="C34" s="16">
        <v>39603</v>
      </c>
      <c r="D34" s="25">
        <v>62845</v>
      </c>
      <c r="E34" s="25">
        <v>71988</v>
      </c>
      <c r="F34" s="25">
        <v>42868</v>
      </c>
      <c r="G34" s="25">
        <v>17891</v>
      </c>
      <c r="H34" s="25">
        <v>5857</v>
      </c>
      <c r="I34" s="25">
        <v>5901</v>
      </c>
      <c r="J34" s="25">
        <v>9083</v>
      </c>
      <c r="K34" s="25">
        <v>6318</v>
      </c>
      <c r="L34" s="25">
        <v>12122</v>
      </c>
      <c r="M34" s="25">
        <v>10444</v>
      </c>
      <c r="N34" s="25">
        <v>11853</v>
      </c>
      <c r="O34" s="25">
        <v>5442</v>
      </c>
    </row>
    <row r="35" spans="2:15" s="26" customFormat="1">
      <c r="B35" s="19" t="s">
        <v>88</v>
      </c>
      <c r="C35" s="18">
        <v>-94594</v>
      </c>
      <c r="D35" s="25">
        <v>-1129</v>
      </c>
      <c r="E35" s="25">
        <v>-35898</v>
      </c>
      <c r="F35" s="25">
        <v>-997</v>
      </c>
      <c r="G35" s="25">
        <v>-4258</v>
      </c>
      <c r="H35" s="25">
        <v>-22906</v>
      </c>
      <c r="I35" s="25">
        <v>-1877</v>
      </c>
      <c r="J35" s="25">
        <v>-221</v>
      </c>
      <c r="K35" s="25">
        <v>-14291</v>
      </c>
      <c r="L35" s="25">
        <v>-955</v>
      </c>
      <c r="M35" s="25">
        <v>-3146</v>
      </c>
      <c r="N35" s="25">
        <v>-1203</v>
      </c>
      <c r="O35" s="25">
        <v>-5346</v>
      </c>
    </row>
    <row r="36" spans="2:15" s="43" customFormat="1" ht="14.5">
      <c r="B36" s="83" t="s">
        <v>89</v>
      </c>
      <c r="C36" s="28">
        <v>0</v>
      </c>
      <c r="D36" s="33">
        <v>0</v>
      </c>
      <c r="E36" s="33">
        <v>0</v>
      </c>
      <c r="F36" s="33">
        <v>0</v>
      </c>
      <c r="G36" s="33">
        <v>0</v>
      </c>
      <c r="H36" s="33">
        <v>-21880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</row>
    <row r="37" spans="2:15" s="26" customFormat="1">
      <c r="B37" s="34" t="s">
        <v>15</v>
      </c>
      <c r="C37" s="35">
        <f t="shared" ref="C37:I37" si="8">SUM(C32:C35)</f>
        <v>777388</v>
      </c>
      <c r="D37" s="37">
        <f t="shared" ref="D37" si="9">SUM(D32:D35)</f>
        <v>1048451</v>
      </c>
      <c r="E37" s="37">
        <f t="shared" si="8"/>
        <v>960244</v>
      </c>
      <c r="F37" s="37">
        <f t="shared" si="8"/>
        <v>935258</v>
      </c>
      <c r="G37" s="37">
        <f t="shared" si="8"/>
        <v>290456</v>
      </c>
      <c r="H37" s="37">
        <f t="shared" si="8"/>
        <v>498697</v>
      </c>
      <c r="I37" s="37">
        <f t="shared" si="8"/>
        <v>69436</v>
      </c>
      <c r="J37" s="37">
        <f t="shared" ref="J37:O37" si="10">SUM(J32:J35)</f>
        <v>124671</v>
      </c>
      <c r="K37" s="37">
        <f t="shared" si="10"/>
        <v>114685</v>
      </c>
      <c r="L37" s="37">
        <f t="shared" si="10"/>
        <v>93282</v>
      </c>
      <c r="M37" s="37">
        <f t="shared" si="10"/>
        <v>148368</v>
      </c>
      <c r="N37" s="37">
        <f t="shared" si="10"/>
        <v>97028</v>
      </c>
      <c r="O37" s="37">
        <f t="shared" si="10"/>
        <v>106363</v>
      </c>
    </row>
    <row r="38" spans="2:15" s="26" customFormat="1">
      <c r="B38" s="19" t="s">
        <v>16</v>
      </c>
      <c r="C38" s="18">
        <v>-133189</v>
      </c>
      <c r="D38" s="25">
        <v>-191595</v>
      </c>
      <c r="E38" s="25">
        <v>-169071</v>
      </c>
      <c r="F38" s="25">
        <v>-169162</v>
      </c>
      <c r="G38" s="25">
        <v>-52626</v>
      </c>
      <c r="H38" s="25">
        <v>-96610</v>
      </c>
      <c r="I38" s="25">
        <v>-11735</v>
      </c>
      <c r="J38" s="25">
        <v>-23200</v>
      </c>
      <c r="K38" s="25">
        <v>-21712</v>
      </c>
      <c r="L38" s="25">
        <v>-15575</v>
      </c>
      <c r="M38" s="25">
        <v>-29333</v>
      </c>
      <c r="N38" s="25">
        <v>-19964</v>
      </c>
      <c r="O38" s="25">
        <v>-24431</v>
      </c>
    </row>
    <row r="39" spans="2:15" s="26" customFormat="1">
      <c r="B39" s="34" t="s">
        <v>17</v>
      </c>
      <c r="C39" s="35">
        <f t="shared" ref="C39:F39" si="11">SUM(C37:C38)</f>
        <v>644199</v>
      </c>
      <c r="D39" s="37">
        <f t="shared" ref="D39" si="12">SUM(D37:D38)</f>
        <v>856856</v>
      </c>
      <c r="E39" s="37">
        <f t="shared" si="11"/>
        <v>791173</v>
      </c>
      <c r="F39" s="37">
        <f t="shared" si="11"/>
        <v>766096</v>
      </c>
      <c r="G39" s="37">
        <f t="shared" ref="G39:H39" si="13">SUM(G37:G38)</f>
        <v>237830</v>
      </c>
      <c r="H39" s="37">
        <f t="shared" si="13"/>
        <v>402087</v>
      </c>
      <c r="I39" s="37">
        <f t="shared" ref="I39:L39" si="14">SUM(I37:I38)</f>
        <v>57701</v>
      </c>
      <c r="J39" s="37">
        <f t="shared" si="14"/>
        <v>101471</v>
      </c>
      <c r="K39" s="37">
        <f t="shared" ref="K39" si="15">SUM(K37:K38)</f>
        <v>92973</v>
      </c>
      <c r="L39" s="37">
        <f t="shared" si="14"/>
        <v>77707</v>
      </c>
      <c r="M39" s="37">
        <f>SUM(M37:M38)</f>
        <v>119035</v>
      </c>
      <c r="N39" s="37">
        <f>SUM(N37:N38)</f>
        <v>77064</v>
      </c>
      <c r="O39" s="37">
        <f>SUM(O37:O38)</f>
        <v>81932</v>
      </c>
    </row>
    <row r="40" spans="2:15" s="43" customFormat="1" ht="14.5">
      <c r="B40" s="83" t="s">
        <v>109</v>
      </c>
      <c r="C40" s="28">
        <v>644194</v>
      </c>
      <c r="D40" s="33">
        <v>857025</v>
      </c>
      <c r="E40" s="33">
        <v>791173</v>
      </c>
      <c r="F40" s="33">
        <v>766096</v>
      </c>
      <c r="G40" s="33">
        <v>237830</v>
      </c>
      <c r="H40" s="33">
        <v>402087</v>
      </c>
      <c r="I40" s="33">
        <v>57701</v>
      </c>
      <c r="J40" s="33">
        <v>101471</v>
      </c>
      <c r="K40" s="33">
        <v>92973</v>
      </c>
      <c r="L40" s="33">
        <v>77707</v>
      </c>
      <c r="M40" s="33">
        <v>119035</v>
      </c>
      <c r="N40" s="33">
        <v>77064</v>
      </c>
      <c r="O40" s="33">
        <v>81932</v>
      </c>
    </row>
    <row r="41" spans="2:15" s="43" customFormat="1" ht="14.5">
      <c r="B41" s="83" t="s">
        <v>110</v>
      </c>
      <c r="C41" s="28">
        <v>5</v>
      </c>
      <c r="D41" s="33">
        <v>-169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</row>
    <row r="42" spans="2:15" s="26" customFormat="1" ht="6.75" customHeight="1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80"/>
      <c r="N42" s="80"/>
      <c r="O42" s="79"/>
    </row>
    <row r="43" spans="2:15" s="79" customFormat="1" ht="12">
      <c r="B43" s="81" t="s">
        <v>18</v>
      </c>
      <c r="C43" s="81"/>
      <c r="D43" s="81"/>
      <c r="E43" s="81"/>
      <c r="F43" s="81"/>
      <c r="G43" s="81"/>
      <c r="H43" s="81"/>
      <c r="I43" s="81"/>
      <c r="J43" s="84"/>
      <c r="K43" s="84"/>
      <c r="L43" s="84"/>
      <c r="M43" s="80"/>
      <c r="N43" s="80"/>
    </row>
    <row r="44" spans="2:15" s="26" customFormat="1"/>
    <row r="45" spans="2:15" s="26" customFormat="1" ht="18">
      <c r="B45" s="82" t="s">
        <v>130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2:15" s="26" customFormat="1" ht="5.25" customHeight="1">
      <c r="B46" s="115" t="s">
        <v>65</v>
      </c>
      <c r="C46" s="2"/>
      <c r="D46" s="2"/>
      <c r="E46" s="2"/>
      <c r="F46" s="2"/>
      <c r="G46" s="2"/>
      <c r="H46" s="2"/>
      <c r="I46" s="2"/>
      <c r="J46" s="2"/>
      <c r="K46" s="2"/>
      <c r="L46" s="121"/>
      <c r="M46" s="121"/>
      <c r="N46" s="121"/>
      <c r="O46" s="121"/>
    </row>
    <row r="47" spans="2:15" s="26" customFormat="1" ht="23">
      <c r="B47" s="116"/>
      <c r="C47" s="15" t="s">
        <v>155</v>
      </c>
      <c r="D47" s="3" t="s">
        <v>119</v>
      </c>
      <c r="E47" s="3" t="s">
        <v>111</v>
      </c>
      <c r="F47" s="3" t="s">
        <v>112</v>
      </c>
      <c r="G47" s="3" t="s">
        <v>98</v>
      </c>
      <c r="H47" s="3" t="s">
        <v>92</v>
      </c>
      <c r="I47" s="3" t="s">
        <v>82</v>
      </c>
      <c r="J47" s="3" t="s">
        <v>74</v>
      </c>
      <c r="K47" s="3" t="s">
        <v>64</v>
      </c>
      <c r="L47" s="3" t="s">
        <v>22</v>
      </c>
      <c r="M47" s="4" t="s">
        <v>19</v>
      </c>
      <c r="N47" s="4" t="s">
        <v>20</v>
      </c>
      <c r="O47" s="4" t="s">
        <v>21</v>
      </c>
    </row>
    <row r="48" spans="2:15" s="26" customFormat="1">
      <c r="B48" s="19" t="s">
        <v>133</v>
      </c>
      <c r="C48" s="20">
        <v>1447904</v>
      </c>
      <c r="D48" s="25">
        <v>1226502</v>
      </c>
      <c r="E48" s="25">
        <v>983343</v>
      </c>
      <c r="F48" s="25">
        <v>849867</v>
      </c>
      <c r="G48" s="25">
        <v>327289</v>
      </c>
      <c r="H48" s="25">
        <v>404414</v>
      </c>
      <c r="I48" s="25">
        <v>121334</v>
      </c>
      <c r="J48" s="25">
        <v>140494</v>
      </c>
      <c r="K48" s="25">
        <v>131423</v>
      </c>
      <c r="L48" s="25">
        <v>128915</v>
      </c>
      <c r="M48" s="25">
        <v>143352</v>
      </c>
      <c r="N48" s="25">
        <v>114538</v>
      </c>
      <c r="O48" s="25">
        <v>117332</v>
      </c>
    </row>
    <row r="49" spans="2:15" s="26" customFormat="1">
      <c r="B49" s="27" t="s">
        <v>132</v>
      </c>
      <c r="C49" s="28">
        <v>1168350</v>
      </c>
      <c r="D49" s="33">
        <v>986531</v>
      </c>
      <c r="E49" s="33">
        <v>756104</v>
      </c>
      <c r="F49" s="33">
        <v>605706</v>
      </c>
      <c r="G49" s="33">
        <v>209804</v>
      </c>
      <c r="H49" s="33">
        <v>295148</v>
      </c>
      <c r="I49" s="33">
        <v>95390</v>
      </c>
      <c r="J49" s="33">
        <v>72525</v>
      </c>
      <c r="K49" s="33">
        <v>78332</v>
      </c>
      <c r="L49" s="33">
        <v>80008</v>
      </c>
      <c r="M49" s="33">
        <v>89025</v>
      </c>
      <c r="N49" s="33">
        <v>72837</v>
      </c>
      <c r="O49" s="33">
        <v>74875</v>
      </c>
    </row>
    <row r="50" spans="2:15" s="26" customFormat="1">
      <c r="B50" s="19" t="s">
        <v>134</v>
      </c>
      <c r="C50" s="20">
        <v>387409</v>
      </c>
      <c r="D50" s="25">
        <v>355868</v>
      </c>
      <c r="E50" s="25">
        <v>369588</v>
      </c>
      <c r="F50" s="25">
        <v>356201</v>
      </c>
      <c r="G50" s="25">
        <v>165349</v>
      </c>
      <c r="H50" s="25">
        <v>303177</v>
      </c>
      <c r="I50" s="25">
        <v>90934</v>
      </c>
      <c r="J50" s="25">
        <v>124488</v>
      </c>
      <c r="K50" s="25">
        <v>128564</v>
      </c>
      <c r="L50" s="25">
        <v>105986</v>
      </c>
      <c r="M50" s="25">
        <v>116516</v>
      </c>
      <c r="N50" s="25">
        <v>84043</v>
      </c>
      <c r="O50" s="25">
        <v>69075</v>
      </c>
    </row>
    <row r="51" spans="2:15" s="26" customFormat="1">
      <c r="B51" s="19" t="s">
        <v>149</v>
      </c>
      <c r="C51" s="20">
        <v>128259</v>
      </c>
      <c r="D51" s="25">
        <v>117930</v>
      </c>
      <c r="E51" s="25">
        <v>147695</v>
      </c>
      <c r="F51" s="25">
        <v>197251</v>
      </c>
      <c r="G51" s="25">
        <v>127745</v>
      </c>
      <c r="H51" s="25">
        <v>90159</v>
      </c>
      <c r="I51" s="25">
        <v>27036</v>
      </c>
      <c r="J51" s="25">
        <v>23319</v>
      </c>
      <c r="K51" s="25">
        <v>13780</v>
      </c>
      <c r="L51" s="25">
        <v>15675</v>
      </c>
      <c r="M51" s="25">
        <v>22674</v>
      </c>
      <c r="N51" s="25">
        <v>5853</v>
      </c>
      <c r="O51" s="25">
        <v>29152</v>
      </c>
    </row>
    <row r="52" spans="2:15" s="26" customFormat="1">
      <c r="B52" s="19" t="s">
        <v>140</v>
      </c>
      <c r="C52" s="20">
        <v>182480</v>
      </c>
      <c r="D52" s="25">
        <v>173128</v>
      </c>
      <c r="E52" s="25">
        <v>117759</v>
      </c>
      <c r="F52" s="25">
        <v>48635</v>
      </c>
      <c r="G52" s="25">
        <v>5212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</row>
    <row r="53" spans="2:15" s="26" customFormat="1">
      <c r="B53" s="19" t="s">
        <v>135</v>
      </c>
      <c r="C53" s="20">
        <v>4</v>
      </c>
      <c r="D53" s="25">
        <v>8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2:15" s="26" customFormat="1">
      <c r="B54" s="34" t="s">
        <v>131</v>
      </c>
      <c r="C54" s="35">
        <f>SUM(C48,C50:C53)</f>
        <v>2146056</v>
      </c>
      <c r="D54" s="37">
        <f>SUM(D48,D50:D53)</f>
        <v>1873436</v>
      </c>
      <c r="E54" s="37">
        <f t="shared" ref="E54:O54" si="16">SUM(E48,E50:E53)</f>
        <v>1618385</v>
      </c>
      <c r="F54" s="37">
        <f t="shared" si="16"/>
        <v>1451954</v>
      </c>
      <c r="G54" s="37">
        <f t="shared" si="16"/>
        <v>625595</v>
      </c>
      <c r="H54" s="37">
        <f t="shared" si="16"/>
        <v>797750</v>
      </c>
      <c r="I54" s="37">
        <f t="shared" si="16"/>
        <v>239304</v>
      </c>
      <c r="J54" s="37">
        <f t="shared" si="16"/>
        <v>288301</v>
      </c>
      <c r="K54" s="37">
        <f t="shared" si="16"/>
        <v>273767</v>
      </c>
      <c r="L54" s="37">
        <f t="shared" si="16"/>
        <v>250576</v>
      </c>
      <c r="M54" s="37">
        <f t="shared" si="16"/>
        <v>282542</v>
      </c>
      <c r="N54" s="37">
        <f t="shared" si="16"/>
        <v>204434</v>
      </c>
      <c r="O54" s="37">
        <f t="shared" si="16"/>
        <v>215559</v>
      </c>
    </row>
    <row r="55" spans="2:15" s="26" customFormat="1" ht="6.75" customHeight="1"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2:15" s="26" customFormat="1">
      <c r="B56" s="81" t="s">
        <v>18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2:15" s="26" customFormat="1">
      <c r="B57" s="81" t="s">
        <v>160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2:15" s="26" customFormat="1">
      <c r="B58" s="81" t="s">
        <v>161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2:15" s="26" customFormat="1"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2:15" s="26" customFormat="1"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2:15" s="26" customFormat="1"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2:15" s="26" customFormat="1"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2:15" s="26" customFormat="1"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2:15" s="26" customFormat="1"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3:12" s="26" customFormat="1"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3:12" s="26" customFormat="1"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3:12" s="26" customFormat="1"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3:12" s="26" customFormat="1"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3:12" s="26" customFormat="1"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3:12" s="26" customFormat="1"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3:12" s="26" customFormat="1"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3:12" s="26" customFormat="1"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3:12" s="26" customFormat="1"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3:12" s="26" customFormat="1"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3:12" s="26" customFormat="1"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3:12" s="26" customFormat="1"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3:12" s="26" customFormat="1"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3:12" s="26" customFormat="1"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3:12" s="26" customFormat="1"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3:12" s="26" customFormat="1"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2:15" s="26" customFormat="1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2:15" s="26" customFormat="1"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</row>
    <row r="83" spans="2:15" s="26" customFormat="1"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</row>
    <row r="84" spans="2:15" s="26" customFormat="1">
      <c r="C84" s="19"/>
      <c r="D84" s="19"/>
      <c r="E84" s="19"/>
      <c r="F84" s="19"/>
      <c r="G84" s="39"/>
    </row>
    <row r="85" spans="2:15" s="26" customFormat="1">
      <c r="C85" s="19"/>
      <c r="D85" s="19"/>
      <c r="E85" s="19"/>
      <c r="F85" s="19"/>
      <c r="G85" s="39"/>
    </row>
    <row r="86" spans="2:15" s="26" customFormat="1">
      <c r="C86" s="19"/>
      <c r="D86" s="19"/>
      <c r="E86" s="19"/>
      <c r="F86" s="19"/>
      <c r="G86" s="39"/>
    </row>
    <row r="87" spans="2:15" s="43" customFormat="1" ht="14.5"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</row>
    <row r="88" spans="2:15" s="43" customFormat="1" ht="14.5"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</row>
    <row r="89" spans="2:15" s="26" customFormat="1">
      <c r="C89" s="19"/>
      <c r="D89" s="19"/>
      <c r="E89" s="19"/>
      <c r="F89" s="19"/>
      <c r="G89" s="39"/>
    </row>
    <row r="90" spans="2:15" s="26" customFormat="1"/>
    <row r="91" spans="2:15" s="26" customFormat="1">
      <c r="G91" s="39"/>
    </row>
    <row r="92" spans="2:15" s="26" customFormat="1">
      <c r="G92" s="39"/>
    </row>
    <row r="93" spans="2:15" s="26" customFormat="1">
      <c r="G93" s="39"/>
    </row>
    <row r="94" spans="2:15" s="26" customFormat="1">
      <c r="B94" s="1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2:15" s="26" customFormat="1">
      <c r="B95" s="1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2:15" s="26" customFormat="1">
      <c r="B96" s="1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2:12" s="26" customFormat="1">
      <c r="B97" s="1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2:12" s="26" customFormat="1">
      <c r="B98" s="1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2:12" s="26" customFormat="1">
      <c r="B99" s="1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2:12" s="26" customFormat="1">
      <c r="B100" s="1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2:12" s="26" customFormat="1">
      <c r="B101" s="1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2:12" s="26" customFormat="1"/>
    <row r="103" spans="2:12" s="26" customFormat="1"/>
    <row r="104" spans="2:12" s="26" customFormat="1"/>
    <row r="105" spans="2:12" s="26" customFormat="1"/>
    <row r="106" spans="2:12" s="26" customFormat="1"/>
    <row r="107" spans="2:12" s="26" customFormat="1"/>
    <row r="108" spans="2:12" s="26" customFormat="1"/>
    <row r="109" spans="2:12" s="26" customFormat="1"/>
    <row r="110" spans="2:12" s="26" customFormat="1"/>
    <row r="111" spans="2:12" s="26" customFormat="1"/>
    <row r="112" spans="2: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  <row r="5699" s="26" customFormat="1"/>
    <row r="5700" s="26" customFormat="1"/>
    <row r="5701" s="26" customFormat="1"/>
    <row r="5702" s="26" customFormat="1"/>
    <row r="5703" s="26" customFormat="1"/>
    <row r="5704" s="26" customFormat="1"/>
    <row r="5705" s="26" customFormat="1"/>
    <row r="5706" s="26" customFormat="1"/>
    <row r="5707" s="26" customFormat="1"/>
    <row r="5708" s="26" customFormat="1"/>
    <row r="5709" s="26" customFormat="1"/>
    <row r="5710" s="26" customFormat="1"/>
    <row r="5711" s="26" customFormat="1"/>
    <row r="5712" s="26" customFormat="1"/>
    <row r="5713" s="26" customFormat="1"/>
    <row r="5714" s="26" customFormat="1"/>
    <row r="5715" s="26" customFormat="1"/>
    <row r="5716" s="26" customFormat="1"/>
    <row r="5717" s="26" customFormat="1"/>
    <row r="5718" s="26" customFormat="1"/>
    <row r="5719" s="26" customFormat="1"/>
    <row r="5720" s="26" customFormat="1"/>
    <row r="5721" s="26" customFormat="1"/>
    <row r="5722" s="26" customFormat="1"/>
    <row r="5723" s="26" customFormat="1"/>
    <row r="5724" s="26" customFormat="1"/>
    <row r="5725" s="26" customFormat="1"/>
    <row r="5726" s="26" customFormat="1"/>
    <row r="5727" s="26" customFormat="1"/>
    <row r="5728" s="26" customFormat="1"/>
    <row r="5729" s="26" customFormat="1"/>
    <row r="5730" s="26" customFormat="1"/>
    <row r="5731" s="26" customFormat="1"/>
  </sheetData>
  <mergeCells count="5">
    <mergeCell ref="B1:O2"/>
    <mergeCell ref="B4:B5"/>
    <mergeCell ref="L4:O4"/>
    <mergeCell ref="B46:B47"/>
    <mergeCell ref="L46:O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2" min="4" max="44" man="1"/>
    <brk id="13" min="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FZ5698"/>
  <sheetViews>
    <sheetView zoomScaleNormal="100" workbookViewId="0">
      <pane xSplit="2" ySplit="5" topLeftCell="C6" activePane="bottomRight" state="frozen"/>
      <selection activeCell="D15" sqref="D15"/>
      <selection pane="topRight" activeCell="D15" sqref="D15"/>
      <selection pane="bottomLeft" activeCell="D15" sqref="D15"/>
      <selection pane="bottomRight"/>
    </sheetView>
  </sheetViews>
  <sheetFormatPr defaultColWidth="8.7265625" defaultRowHeight="14"/>
  <cols>
    <col min="1" max="1" width="1.1796875" style="26" customWidth="1"/>
    <col min="2" max="2" width="71.26953125" style="66" customWidth="1"/>
    <col min="3" max="6" width="12.1796875" style="66" customWidth="1"/>
    <col min="7" max="15" width="12.453125" style="66" customWidth="1"/>
    <col min="16" max="858" width="9.1796875" style="26" customWidth="1"/>
    <col min="859" max="16384" width="8.7265625" style="66"/>
  </cols>
  <sheetData>
    <row r="1" spans="2:15" s="26" customFormat="1" ht="16.5" customHeight="1">
      <c r="B1" s="117" t="s">
        <v>115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2:15" s="26" customFormat="1" ht="16.5" customHeight="1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2:15" s="26" customFormat="1"/>
    <row r="4" spans="2:15">
      <c r="B4" s="115" t="s">
        <v>65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s="26" customFormat="1">
      <c r="B5" s="116"/>
      <c r="C5" s="10">
        <v>46022</v>
      </c>
      <c r="D5" s="10">
        <v>45657</v>
      </c>
      <c r="E5" s="10">
        <v>45291</v>
      </c>
      <c r="F5" s="10">
        <v>44926</v>
      </c>
      <c r="G5" s="10">
        <v>44561</v>
      </c>
      <c r="H5" s="10">
        <v>44196</v>
      </c>
      <c r="I5" s="10">
        <v>43830</v>
      </c>
      <c r="J5" s="10">
        <v>43465</v>
      </c>
      <c r="K5" s="10">
        <v>43100</v>
      </c>
      <c r="L5" s="10" t="s">
        <v>63</v>
      </c>
      <c r="M5" s="10" t="s">
        <v>62</v>
      </c>
      <c r="N5" s="10" t="s">
        <v>61</v>
      </c>
      <c r="O5" s="10" t="s">
        <v>60</v>
      </c>
    </row>
    <row r="6" spans="2:15" s="26" customFormat="1">
      <c r="B6" s="67" t="s">
        <v>24</v>
      </c>
      <c r="C6" s="68"/>
      <c r="D6" s="40"/>
      <c r="E6" s="40"/>
      <c r="F6" s="40"/>
      <c r="G6" s="40"/>
      <c r="H6" s="40"/>
      <c r="I6" s="25"/>
      <c r="J6" s="40"/>
      <c r="K6" s="25"/>
      <c r="L6" s="25"/>
      <c r="M6" s="25"/>
      <c r="N6" s="25"/>
      <c r="O6" s="25"/>
    </row>
    <row r="7" spans="2:15" s="26" customFormat="1" ht="7.5" customHeight="1">
      <c r="B7" s="67"/>
      <c r="C7" s="69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s="26" customFormat="1">
      <c r="B8" s="19" t="s">
        <v>25</v>
      </c>
      <c r="C8" s="69">
        <v>1994026.7400000002</v>
      </c>
      <c r="D8" s="25">
        <v>1619512</v>
      </c>
      <c r="E8" s="25">
        <v>1409897</v>
      </c>
      <c r="F8" s="25">
        <v>1222499</v>
      </c>
      <c r="G8" s="25">
        <v>589392</v>
      </c>
      <c r="H8" s="25">
        <v>542205</v>
      </c>
      <c r="I8" s="25">
        <v>484351</v>
      </c>
      <c r="J8" s="25">
        <v>467987</v>
      </c>
      <c r="K8" s="25">
        <v>367096</v>
      </c>
      <c r="L8" s="25">
        <v>290739</v>
      </c>
      <c r="M8" s="25">
        <v>325328</v>
      </c>
      <c r="N8" s="25">
        <v>287388</v>
      </c>
      <c r="O8" s="25">
        <v>168245</v>
      </c>
    </row>
    <row r="9" spans="2:15" s="26" customFormat="1">
      <c r="B9" s="19" t="s">
        <v>51</v>
      </c>
      <c r="C9" s="69">
        <v>5864393.2599999998</v>
      </c>
      <c r="D9" s="25">
        <v>3751303</v>
      </c>
      <c r="E9" s="25">
        <v>2266859</v>
      </c>
      <c r="F9" s="25">
        <v>1938503</v>
      </c>
      <c r="G9" s="25">
        <v>1786869</v>
      </c>
      <c r="H9" s="25">
        <v>1033602</v>
      </c>
      <c r="I9" s="25">
        <v>470845</v>
      </c>
      <c r="J9" s="25">
        <v>363908</v>
      </c>
      <c r="K9" s="25">
        <v>378471</v>
      </c>
      <c r="L9" s="25">
        <v>375642</v>
      </c>
      <c r="M9" s="25">
        <v>298138</v>
      </c>
      <c r="N9" s="25">
        <v>267966</v>
      </c>
      <c r="O9" s="25">
        <v>245087</v>
      </c>
    </row>
    <row r="10" spans="2:15" s="26" customFormat="1">
      <c r="B10" s="19" t="s">
        <v>68</v>
      </c>
      <c r="C10" s="69">
        <v>1006973</v>
      </c>
      <c r="D10" s="25">
        <v>1123923</v>
      </c>
      <c r="E10" s="25">
        <v>903255</v>
      </c>
      <c r="F10" s="25">
        <v>842509</v>
      </c>
      <c r="G10" s="25">
        <v>703546</v>
      </c>
      <c r="H10" s="25">
        <v>663133</v>
      </c>
      <c r="I10" s="25">
        <v>149318</v>
      </c>
      <c r="J10" s="25">
        <v>114279</v>
      </c>
      <c r="K10" s="25" t="s">
        <v>69</v>
      </c>
      <c r="L10" s="25" t="s">
        <v>69</v>
      </c>
      <c r="M10" s="25" t="s">
        <v>69</v>
      </c>
      <c r="N10" s="25" t="s">
        <v>69</v>
      </c>
      <c r="O10" s="25" t="s">
        <v>69</v>
      </c>
    </row>
    <row r="11" spans="2:15" s="26" customFormat="1">
      <c r="B11" s="19" t="s">
        <v>26</v>
      </c>
      <c r="C11" s="69" t="s">
        <v>69</v>
      </c>
      <c r="D11" s="25" t="s">
        <v>69</v>
      </c>
      <c r="E11" s="25" t="s">
        <v>69</v>
      </c>
      <c r="F11" s="25" t="s">
        <v>69</v>
      </c>
      <c r="G11" s="25" t="s">
        <v>69</v>
      </c>
      <c r="H11" s="25" t="s">
        <v>69</v>
      </c>
      <c r="I11" s="25" t="s">
        <v>69</v>
      </c>
      <c r="J11" s="25" t="s">
        <v>69</v>
      </c>
      <c r="K11" s="25">
        <v>127944</v>
      </c>
      <c r="L11" s="25">
        <v>94903</v>
      </c>
      <c r="M11" s="25">
        <v>64254</v>
      </c>
      <c r="N11" s="25">
        <v>61322</v>
      </c>
      <c r="O11" s="25">
        <v>71541</v>
      </c>
    </row>
    <row r="12" spans="2:15" s="26" customFormat="1">
      <c r="B12" s="19" t="s">
        <v>50</v>
      </c>
      <c r="C12" s="69" t="s">
        <v>69</v>
      </c>
      <c r="D12" s="25" t="s">
        <v>69</v>
      </c>
      <c r="E12" s="25" t="s">
        <v>69</v>
      </c>
      <c r="F12" s="25" t="s">
        <v>69</v>
      </c>
      <c r="G12" s="25" t="s">
        <v>69</v>
      </c>
      <c r="H12" s="25" t="s">
        <v>69</v>
      </c>
      <c r="I12" s="25" t="s">
        <v>69</v>
      </c>
      <c r="J12" s="25" t="s">
        <v>69</v>
      </c>
      <c r="K12" s="25">
        <v>0</v>
      </c>
      <c r="L12" s="25">
        <v>0</v>
      </c>
      <c r="M12" s="25">
        <v>0</v>
      </c>
      <c r="N12" s="25">
        <v>288</v>
      </c>
      <c r="O12" s="25">
        <v>0</v>
      </c>
    </row>
    <row r="13" spans="2:15" s="26" customFormat="1">
      <c r="B13" s="19" t="s">
        <v>52</v>
      </c>
      <c r="C13" s="69" t="s">
        <v>69</v>
      </c>
      <c r="D13" s="25" t="s">
        <v>69</v>
      </c>
      <c r="E13" s="25" t="s">
        <v>69</v>
      </c>
      <c r="F13" s="25" t="s">
        <v>69</v>
      </c>
      <c r="G13" s="25" t="s">
        <v>69</v>
      </c>
      <c r="H13" s="25" t="s">
        <v>69</v>
      </c>
      <c r="I13" s="25" t="s">
        <v>69</v>
      </c>
      <c r="J13" s="25" t="s">
        <v>69</v>
      </c>
      <c r="K13" s="25">
        <v>147</v>
      </c>
      <c r="L13" s="25">
        <v>190</v>
      </c>
      <c r="M13" s="25">
        <v>213</v>
      </c>
      <c r="N13" s="25">
        <v>241</v>
      </c>
      <c r="O13" s="25">
        <v>0</v>
      </c>
    </row>
    <row r="14" spans="2:15" s="26" customFormat="1">
      <c r="B14" s="19" t="s">
        <v>27</v>
      </c>
      <c r="C14" s="69">
        <v>14112</v>
      </c>
      <c r="D14" s="25">
        <v>131</v>
      </c>
      <c r="E14" s="25">
        <v>129</v>
      </c>
      <c r="F14" s="25">
        <v>0</v>
      </c>
      <c r="G14" s="25">
        <v>7247</v>
      </c>
      <c r="H14" s="25">
        <v>2593</v>
      </c>
      <c r="I14" s="25">
        <v>71</v>
      </c>
      <c r="J14" s="25">
        <v>3068</v>
      </c>
      <c r="K14" s="25">
        <v>375</v>
      </c>
      <c r="L14" s="25">
        <v>1016</v>
      </c>
      <c r="M14" s="25">
        <v>2443</v>
      </c>
      <c r="N14" s="25">
        <v>56</v>
      </c>
      <c r="O14" s="25">
        <v>8</v>
      </c>
    </row>
    <row r="15" spans="2:15" s="26" customFormat="1">
      <c r="B15" s="19" t="s">
        <v>75</v>
      </c>
      <c r="C15" s="69">
        <v>107761</v>
      </c>
      <c r="D15" s="25">
        <v>55026</v>
      </c>
      <c r="E15" s="25">
        <v>31407</v>
      </c>
      <c r="F15" s="25">
        <v>41675</v>
      </c>
      <c r="G15" s="25">
        <v>26568</v>
      </c>
      <c r="H15" s="25">
        <v>13310</v>
      </c>
      <c r="I15" s="25">
        <v>6474</v>
      </c>
      <c r="J15" s="25">
        <v>5005</v>
      </c>
      <c r="K15" s="25">
        <v>4009</v>
      </c>
      <c r="L15" s="25">
        <v>5244</v>
      </c>
      <c r="M15" s="25">
        <v>4545</v>
      </c>
      <c r="N15" s="25">
        <v>3904</v>
      </c>
      <c r="O15" s="25">
        <v>40482</v>
      </c>
    </row>
    <row r="16" spans="2:15" s="26" customFormat="1">
      <c r="B16" s="19" t="s">
        <v>28</v>
      </c>
      <c r="C16" s="69">
        <v>29037</v>
      </c>
      <c r="D16" s="25">
        <v>19686</v>
      </c>
      <c r="E16" s="25">
        <v>15486</v>
      </c>
      <c r="F16" s="25">
        <v>14524</v>
      </c>
      <c r="G16" s="25">
        <v>8637</v>
      </c>
      <c r="H16" s="25">
        <v>5397</v>
      </c>
      <c r="I16" s="25">
        <v>4073</v>
      </c>
      <c r="J16" s="25">
        <v>3049</v>
      </c>
      <c r="K16" s="25">
        <v>3216</v>
      </c>
      <c r="L16" s="25">
        <v>3590</v>
      </c>
      <c r="M16" s="25">
        <v>2513</v>
      </c>
      <c r="N16" s="25">
        <v>1956</v>
      </c>
      <c r="O16" s="25">
        <v>2265</v>
      </c>
    </row>
    <row r="17" spans="2:15" s="26" customFormat="1">
      <c r="B17" s="19" t="s">
        <v>29</v>
      </c>
      <c r="C17" s="69">
        <v>1398</v>
      </c>
      <c r="D17" s="25">
        <v>2009</v>
      </c>
      <c r="E17" s="25">
        <v>1167</v>
      </c>
      <c r="F17" s="25">
        <v>1441</v>
      </c>
      <c r="G17" s="25">
        <v>585</v>
      </c>
      <c r="H17" s="25">
        <v>639</v>
      </c>
      <c r="I17" s="25">
        <v>572</v>
      </c>
      <c r="J17" s="25">
        <v>716</v>
      </c>
      <c r="K17" s="25">
        <v>2915</v>
      </c>
      <c r="L17" s="25">
        <v>10060</v>
      </c>
      <c r="M17" s="25">
        <v>13340</v>
      </c>
      <c r="N17" s="25">
        <v>17908</v>
      </c>
      <c r="O17" s="25">
        <v>12929</v>
      </c>
    </row>
    <row r="18" spans="2:15" s="26" customFormat="1">
      <c r="B18" s="19" t="s">
        <v>30</v>
      </c>
      <c r="C18" s="69">
        <v>63407</v>
      </c>
      <c r="D18" s="25">
        <v>65334</v>
      </c>
      <c r="E18" s="25">
        <v>50386</v>
      </c>
      <c r="F18" s="25">
        <v>45303</v>
      </c>
      <c r="G18" s="25">
        <v>16206</v>
      </c>
      <c r="H18" s="25">
        <v>13260</v>
      </c>
      <c r="I18" s="25">
        <v>14193</v>
      </c>
      <c r="J18" s="25">
        <v>2517</v>
      </c>
      <c r="K18" s="25">
        <v>3034</v>
      </c>
      <c r="L18" s="25">
        <v>3746</v>
      </c>
      <c r="M18" s="25">
        <v>4107</v>
      </c>
      <c r="N18" s="25">
        <v>4489</v>
      </c>
      <c r="O18" s="25">
        <v>4692</v>
      </c>
    </row>
    <row r="19" spans="2:15" s="26" customFormat="1">
      <c r="B19" s="19" t="s">
        <v>31</v>
      </c>
      <c r="C19" s="69">
        <v>5559</v>
      </c>
      <c r="D19" s="25">
        <v>8708</v>
      </c>
      <c r="E19" s="25">
        <v>10072</v>
      </c>
      <c r="F19" s="25">
        <v>7869</v>
      </c>
      <c r="G19" s="25">
        <v>8693</v>
      </c>
      <c r="H19" s="25">
        <v>9387</v>
      </c>
      <c r="I19" s="25">
        <v>9003</v>
      </c>
      <c r="J19" s="25">
        <v>9545</v>
      </c>
      <c r="K19" s="25">
        <v>10497</v>
      </c>
      <c r="L19" s="25">
        <v>11623</v>
      </c>
      <c r="M19" s="25">
        <v>12238</v>
      </c>
      <c r="N19" s="25">
        <v>12799</v>
      </c>
      <c r="O19" s="25">
        <v>11732</v>
      </c>
    </row>
    <row r="20" spans="2:15" s="26" customFormat="1">
      <c r="B20" s="70" t="s">
        <v>32</v>
      </c>
      <c r="C20" s="71">
        <f t="shared" ref="C20:D20" si="0">SUM(C8:C19)</f>
        <v>9086667</v>
      </c>
      <c r="D20" s="73">
        <f t="shared" si="0"/>
        <v>6645632</v>
      </c>
      <c r="E20" s="73">
        <f t="shared" ref="E20:J20" si="1">SUM(E8:E19)</f>
        <v>4688658</v>
      </c>
      <c r="F20" s="73">
        <f t="shared" si="1"/>
        <v>4114323</v>
      </c>
      <c r="G20" s="73">
        <f t="shared" si="1"/>
        <v>3147743</v>
      </c>
      <c r="H20" s="73">
        <f t="shared" si="1"/>
        <v>2283526</v>
      </c>
      <c r="I20" s="73">
        <f t="shared" si="1"/>
        <v>1138900</v>
      </c>
      <c r="J20" s="73">
        <f t="shared" si="1"/>
        <v>970074</v>
      </c>
      <c r="K20" s="73">
        <f t="shared" ref="K20:O20" si="2">SUM(K8:K19)</f>
        <v>897704</v>
      </c>
      <c r="L20" s="73">
        <f t="shared" si="2"/>
        <v>796753</v>
      </c>
      <c r="M20" s="73">
        <f t="shared" si="2"/>
        <v>727119</v>
      </c>
      <c r="N20" s="73">
        <f t="shared" si="2"/>
        <v>658317</v>
      </c>
      <c r="O20" s="73">
        <f t="shared" si="2"/>
        <v>556981</v>
      </c>
    </row>
    <row r="21" spans="2:15" s="26" customFormat="1" ht="7.5" customHeight="1">
      <c r="B21" s="19"/>
      <c r="C21" s="6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2:15" s="26" customFormat="1">
      <c r="B22" s="67" t="s">
        <v>33</v>
      </c>
      <c r="C22" s="6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s="26" customFormat="1" ht="7.5" customHeight="1">
      <c r="B23" s="67"/>
      <c r="C23" s="6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2:15" s="26" customFormat="1">
      <c r="B24" s="67" t="s">
        <v>34</v>
      </c>
      <c r="C24" s="6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2:15" s="26" customFormat="1">
      <c r="B25" s="19" t="s">
        <v>35</v>
      </c>
      <c r="C25" s="69">
        <v>6528223</v>
      </c>
      <c r="D25" s="25">
        <v>4164895</v>
      </c>
      <c r="E25" s="25">
        <v>2638122</v>
      </c>
      <c r="F25" s="25">
        <v>2327728</v>
      </c>
      <c r="G25" s="25">
        <v>2010490</v>
      </c>
      <c r="H25" s="25">
        <v>1203243</v>
      </c>
      <c r="I25" s="25">
        <v>573792</v>
      </c>
      <c r="J25" s="25">
        <v>447841</v>
      </c>
      <c r="K25" s="25">
        <v>421400</v>
      </c>
      <c r="L25" s="25">
        <v>377268</v>
      </c>
      <c r="M25" s="25">
        <v>301076</v>
      </c>
      <c r="N25" s="25">
        <v>268032</v>
      </c>
      <c r="O25" s="25">
        <v>246057</v>
      </c>
    </row>
    <row r="26" spans="2:15" s="26" customFormat="1">
      <c r="B26" s="19" t="s">
        <v>36</v>
      </c>
      <c r="C26" s="69">
        <v>271159</v>
      </c>
      <c r="D26" s="25">
        <v>208193</v>
      </c>
      <c r="E26" s="25">
        <v>110358</v>
      </c>
      <c r="F26" s="25">
        <v>105552</v>
      </c>
      <c r="G26" s="25">
        <v>127712</v>
      </c>
      <c r="H26" s="25">
        <v>96632</v>
      </c>
      <c r="I26" s="25">
        <v>23529</v>
      </c>
      <c r="J26" s="25">
        <v>28227</v>
      </c>
      <c r="K26" s="25">
        <v>40905</v>
      </c>
      <c r="L26" s="25">
        <v>22645</v>
      </c>
      <c r="M26" s="25">
        <v>10215</v>
      </c>
      <c r="N26" s="25">
        <v>14692</v>
      </c>
      <c r="O26" s="25">
        <v>11479</v>
      </c>
    </row>
    <row r="27" spans="2:15" s="26" customFormat="1">
      <c r="B27" s="19" t="s">
        <v>37</v>
      </c>
      <c r="C27" s="69">
        <v>1497</v>
      </c>
      <c r="D27" s="25">
        <v>13316</v>
      </c>
      <c r="E27" s="25">
        <v>22991</v>
      </c>
      <c r="F27" s="25">
        <v>1827</v>
      </c>
      <c r="G27" s="25">
        <v>783</v>
      </c>
      <c r="H27" s="25">
        <v>1329</v>
      </c>
      <c r="I27" s="25">
        <v>1697</v>
      </c>
      <c r="J27" s="25">
        <v>232</v>
      </c>
      <c r="K27" s="25">
        <v>1268</v>
      </c>
      <c r="L27" s="25">
        <v>4262</v>
      </c>
      <c r="M27" s="25">
        <v>4562</v>
      </c>
      <c r="N27" s="25">
        <v>7301</v>
      </c>
      <c r="O27" s="25">
        <v>6814</v>
      </c>
    </row>
    <row r="28" spans="2:15" s="26" customFormat="1">
      <c r="B28" s="19" t="s">
        <v>76</v>
      </c>
      <c r="C28" s="69">
        <v>25867</v>
      </c>
      <c r="D28" s="25">
        <v>33935</v>
      </c>
      <c r="E28" s="25">
        <v>29603</v>
      </c>
      <c r="F28" s="25">
        <v>30450</v>
      </c>
      <c r="G28" s="25">
        <v>7437</v>
      </c>
      <c r="H28" s="25">
        <v>8654</v>
      </c>
      <c r="I28" s="25">
        <v>10772</v>
      </c>
      <c r="J28" s="25">
        <v>37</v>
      </c>
      <c r="K28" s="25">
        <v>128</v>
      </c>
      <c r="L28" s="25">
        <v>258</v>
      </c>
      <c r="M28" s="25">
        <v>375</v>
      </c>
      <c r="N28" s="25">
        <v>513</v>
      </c>
      <c r="O28" s="25">
        <v>268</v>
      </c>
    </row>
    <row r="29" spans="2:15" s="26" customFormat="1">
      <c r="B29" s="19" t="s">
        <v>70</v>
      </c>
      <c r="C29" s="69">
        <v>174508</v>
      </c>
      <c r="D29" s="25">
        <v>156884</v>
      </c>
      <c r="E29" s="25">
        <v>86080</v>
      </c>
      <c r="F29" s="25">
        <v>79705</v>
      </c>
      <c r="G29" s="25">
        <v>48377</v>
      </c>
      <c r="H29" s="25">
        <v>54167</v>
      </c>
      <c r="I29" s="25">
        <v>19676</v>
      </c>
      <c r="J29" s="25">
        <v>23744</v>
      </c>
      <c r="K29" s="25">
        <v>21785</v>
      </c>
      <c r="L29" s="25">
        <v>22435</v>
      </c>
      <c r="M29" s="25">
        <v>26333</v>
      </c>
      <c r="N29" s="25">
        <v>22092</v>
      </c>
      <c r="O29" s="25">
        <v>24146</v>
      </c>
    </row>
    <row r="30" spans="2:15" s="26" customFormat="1">
      <c r="B30" s="19" t="s">
        <v>38</v>
      </c>
      <c r="C30" s="69">
        <v>6414</v>
      </c>
      <c r="D30" s="25">
        <v>3530</v>
      </c>
      <c r="E30" s="25">
        <v>3892</v>
      </c>
      <c r="F30" s="25">
        <v>4256</v>
      </c>
      <c r="G30" s="25">
        <v>4965</v>
      </c>
      <c r="H30" s="25">
        <v>7939</v>
      </c>
      <c r="I30" s="25">
        <v>3129</v>
      </c>
      <c r="J30" s="25">
        <v>1980</v>
      </c>
      <c r="K30" s="25">
        <v>1666</v>
      </c>
      <c r="L30" s="25">
        <v>948</v>
      </c>
      <c r="M30" s="25">
        <v>871</v>
      </c>
      <c r="N30" s="25">
        <v>565</v>
      </c>
      <c r="O30" s="25">
        <v>608</v>
      </c>
    </row>
    <row r="31" spans="2:15" s="26" customFormat="1">
      <c r="B31" s="19" t="s">
        <v>39</v>
      </c>
      <c r="C31" s="69">
        <v>78502</v>
      </c>
      <c r="D31" s="25">
        <v>61238</v>
      </c>
      <c r="E31" s="25">
        <v>62949</v>
      </c>
      <c r="F31" s="25">
        <v>58736</v>
      </c>
      <c r="G31" s="25">
        <v>32419</v>
      </c>
      <c r="H31" s="25">
        <v>23257</v>
      </c>
      <c r="I31" s="25">
        <v>15561</v>
      </c>
      <c r="J31" s="25">
        <v>12857</v>
      </c>
      <c r="K31" s="25">
        <v>10210</v>
      </c>
      <c r="L31" s="25">
        <v>13044</v>
      </c>
      <c r="M31" s="25">
        <v>9638</v>
      </c>
      <c r="N31" s="25">
        <v>9411</v>
      </c>
      <c r="O31" s="25">
        <v>11067</v>
      </c>
    </row>
    <row r="32" spans="2:15" s="26" customFormat="1">
      <c r="B32" s="70" t="s">
        <v>40</v>
      </c>
      <c r="C32" s="71">
        <f t="shared" ref="C32:D32" si="3">SUM(C25:C31)</f>
        <v>7086170</v>
      </c>
      <c r="D32" s="73">
        <f t="shared" si="3"/>
        <v>4641991</v>
      </c>
      <c r="E32" s="73">
        <f t="shared" ref="E32:J32" si="4">SUM(E25:E31)</f>
        <v>2953995</v>
      </c>
      <c r="F32" s="73">
        <f t="shared" si="4"/>
        <v>2608254</v>
      </c>
      <c r="G32" s="73">
        <f t="shared" si="4"/>
        <v>2232183</v>
      </c>
      <c r="H32" s="73">
        <f t="shared" si="4"/>
        <v>1395221</v>
      </c>
      <c r="I32" s="73">
        <f t="shared" si="4"/>
        <v>648156</v>
      </c>
      <c r="J32" s="73">
        <f t="shared" si="4"/>
        <v>514918</v>
      </c>
      <c r="K32" s="73">
        <f t="shared" ref="K32:O32" si="5">SUM(K25:K31)</f>
        <v>497362</v>
      </c>
      <c r="L32" s="73">
        <f t="shared" si="5"/>
        <v>440860</v>
      </c>
      <c r="M32" s="73">
        <f t="shared" si="5"/>
        <v>353070</v>
      </c>
      <c r="N32" s="73">
        <f t="shared" si="5"/>
        <v>322606</v>
      </c>
      <c r="O32" s="73">
        <f t="shared" si="5"/>
        <v>300439</v>
      </c>
    </row>
    <row r="33" spans="2:15" s="26" customFormat="1" ht="6.75" customHeight="1">
      <c r="B33" s="67"/>
      <c r="C33" s="75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spans="2:15" s="26" customFormat="1">
      <c r="B34" s="67" t="s">
        <v>41</v>
      </c>
      <c r="C34" s="75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2:15" s="26" customFormat="1">
      <c r="B35" s="19" t="s">
        <v>42</v>
      </c>
      <c r="C35" s="69">
        <v>5878</v>
      </c>
      <c r="D35" s="25">
        <v>5878</v>
      </c>
      <c r="E35" s="25">
        <v>5878</v>
      </c>
      <c r="F35" s="25">
        <v>5869</v>
      </c>
      <c r="G35" s="25">
        <v>5869</v>
      </c>
      <c r="H35" s="25">
        <v>5869</v>
      </c>
      <c r="I35" s="25">
        <v>5869</v>
      </c>
      <c r="J35" s="25">
        <v>5869</v>
      </c>
      <c r="K35" s="25">
        <v>5869</v>
      </c>
      <c r="L35" s="25">
        <v>5869</v>
      </c>
      <c r="M35" s="25">
        <v>5869</v>
      </c>
      <c r="N35" s="25">
        <v>5869</v>
      </c>
      <c r="O35" s="25">
        <v>5869</v>
      </c>
    </row>
    <row r="36" spans="2:15" s="26" customFormat="1">
      <c r="B36" s="19" t="s">
        <v>43</v>
      </c>
      <c r="C36" s="69">
        <v>71608</v>
      </c>
      <c r="D36" s="25">
        <v>71608</v>
      </c>
      <c r="E36" s="25">
        <v>71608</v>
      </c>
      <c r="F36" s="25">
        <v>71608</v>
      </c>
      <c r="G36" s="25">
        <v>71608</v>
      </c>
      <c r="H36" s="25">
        <v>71608</v>
      </c>
      <c r="I36" s="25">
        <v>71608</v>
      </c>
      <c r="J36" s="25">
        <v>71608</v>
      </c>
      <c r="K36" s="25">
        <v>71608</v>
      </c>
      <c r="L36" s="25">
        <v>71608</v>
      </c>
      <c r="M36" s="25">
        <v>71608</v>
      </c>
      <c r="N36" s="25">
        <v>71608</v>
      </c>
      <c r="O36" s="25">
        <v>71608</v>
      </c>
    </row>
    <row r="37" spans="2:15" s="26" customFormat="1">
      <c r="B37" s="19" t="s">
        <v>44</v>
      </c>
      <c r="C37" s="69">
        <v>1274458</v>
      </c>
      <c r="D37" s="25">
        <v>1059614</v>
      </c>
      <c r="E37" s="25">
        <v>863166</v>
      </c>
      <c r="F37" s="25">
        <v>657555</v>
      </c>
      <c r="G37" s="25">
        <v>598789</v>
      </c>
      <c r="H37" s="25">
        <v>390730</v>
      </c>
      <c r="I37" s="25">
        <v>364757</v>
      </c>
      <c r="J37" s="25">
        <v>334898</v>
      </c>
      <c r="K37" s="25">
        <v>247992</v>
      </c>
      <c r="L37" s="25">
        <v>212554</v>
      </c>
      <c r="M37" s="25">
        <v>189092</v>
      </c>
      <c r="N37" s="25">
        <v>189092</v>
      </c>
      <c r="O37" s="25">
        <v>102650</v>
      </c>
    </row>
    <row r="38" spans="2:15" s="26" customFormat="1">
      <c r="B38" s="19" t="s">
        <v>45</v>
      </c>
      <c r="C38" s="69">
        <v>-11788</v>
      </c>
      <c r="D38" s="25">
        <v>-4074</v>
      </c>
      <c r="E38" s="25">
        <v>-6595</v>
      </c>
      <c r="F38" s="25">
        <v>40</v>
      </c>
      <c r="G38" s="25">
        <v>-449</v>
      </c>
      <c r="H38" s="25">
        <v>9</v>
      </c>
      <c r="I38" s="25">
        <v>-23637</v>
      </c>
      <c r="J38" s="25">
        <v>-21479</v>
      </c>
      <c r="K38" s="25">
        <v>-15906</v>
      </c>
      <c r="L38" s="25">
        <v>-4945</v>
      </c>
      <c r="M38" s="25">
        <v>-641</v>
      </c>
      <c r="N38" s="25">
        <v>2535</v>
      </c>
      <c r="O38" s="25">
        <v>430</v>
      </c>
    </row>
    <row r="39" spans="2:15" s="26" customFormat="1">
      <c r="B39" s="19" t="s">
        <v>46</v>
      </c>
      <c r="C39" s="69">
        <v>659484</v>
      </c>
      <c r="D39" s="25">
        <v>870495</v>
      </c>
      <c r="E39" s="25">
        <v>800606</v>
      </c>
      <c r="F39" s="25">
        <v>770997</v>
      </c>
      <c r="G39" s="25">
        <v>239743</v>
      </c>
      <c r="H39" s="25">
        <v>420089</v>
      </c>
      <c r="I39" s="25">
        <v>72147</v>
      </c>
      <c r="J39" s="25">
        <v>64260</v>
      </c>
      <c r="K39" s="25">
        <v>90779</v>
      </c>
      <c r="L39" s="25">
        <v>70807</v>
      </c>
      <c r="M39" s="25">
        <v>108121</v>
      </c>
      <c r="N39" s="25">
        <v>66607</v>
      </c>
      <c r="O39" s="25">
        <v>75985</v>
      </c>
    </row>
    <row r="40" spans="2:15" s="26" customFormat="1">
      <c r="B40" s="70" t="s">
        <v>47</v>
      </c>
      <c r="C40" s="71">
        <f t="shared" ref="C40:H40" si="6">SUM(C35:C39)</f>
        <v>1999640</v>
      </c>
      <c r="D40" s="73">
        <f t="shared" si="6"/>
        <v>2003521</v>
      </c>
      <c r="E40" s="73">
        <f t="shared" si="6"/>
        <v>1734663</v>
      </c>
      <c r="F40" s="73">
        <f t="shared" si="6"/>
        <v>1506069</v>
      </c>
      <c r="G40" s="73">
        <f t="shared" si="6"/>
        <v>915560</v>
      </c>
      <c r="H40" s="73">
        <f t="shared" si="6"/>
        <v>888305</v>
      </c>
      <c r="I40" s="73">
        <f t="shared" ref="I40" si="7">SUM(I35:I39)</f>
        <v>490744</v>
      </c>
      <c r="J40" s="73">
        <f t="shared" ref="J40:L40" si="8">SUM(J35:J39)</f>
        <v>455156</v>
      </c>
      <c r="K40" s="73">
        <f t="shared" si="8"/>
        <v>400342</v>
      </c>
      <c r="L40" s="73">
        <f t="shared" si="8"/>
        <v>355893</v>
      </c>
      <c r="M40" s="73">
        <f t="shared" ref="M40:O40" si="9">SUM(M35:M39)</f>
        <v>374049</v>
      </c>
      <c r="N40" s="73">
        <f t="shared" si="9"/>
        <v>335711</v>
      </c>
      <c r="O40" s="73">
        <f t="shared" si="9"/>
        <v>256542</v>
      </c>
    </row>
    <row r="41" spans="2:15" s="26" customFormat="1">
      <c r="B41" s="70" t="s">
        <v>113</v>
      </c>
      <c r="C41" s="71">
        <v>857</v>
      </c>
      <c r="D41" s="73">
        <v>120</v>
      </c>
      <c r="E41" s="73">
        <v>0</v>
      </c>
      <c r="F41" s="73">
        <v>0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</row>
    <row r="42" spans="2:15" s="26" customFormat="1">
      <c r="B42" s="70" t="s">
        <v>48</v>
      </c>
      <c r="C42" s="71">
        <f>C40+C41</f>
        <v>2000497</v>
      </c>
      <c r="D42" s="73">
        <f>D40+D41</f>
        <v>2003641</v>
      </c>
      <c r="E42" s="73">
        <f>E40</f>
        <v>1734663</v>
      </c>
      <c r="F42" s="73">
        <f>F40</f>
        <v>1506069</v>
      </c>
      <c r="G42" s="73">
        <f>G40</f>
        <v>915560</v>
      </c>
      <c r="H42" s="73">
        <f>H40</f>
        <v>888305</v>
      </c>
      <c r="I42" s="73">
        <f t="shared" ref="I42" si="10">I40</f>
        <v>490744</v>
      </c>
      <c r="J42" s="73">
        <f t="shared" ref="J42:L42" si="11">J40</f>
        <v>455156</v>
      </c>
      <c r="K42" s="73">
        <f t="shared" si="11"/>
        <v>400342</v>
      </c>
      <c r="L42" s="73">
        <f t="shared" si="11"/>
        <v>355893</v>
      </c>
      <c r="M42" s="73">
        <f t="shared" ref="M42:O42" si="12">M40</f>
        <v>374049</v>
      </c>
      <c r="N42" s="73">
        <f t="shared" si="12"/>
        <v>335711</v>
      </c>
      <c r="O42" s="73">
        <f t="shared" si="12"/>
        <v>256542</v>
      </c>
    </row>
    <row r="43" spans="2:15" s="26" customFormat="1">
      <c r="B43" s="67"/>
      <c r="C43" s="75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2:15" s="26" customFormat="1">
      <c r="B44" s="70" t="s">
        <v>49</v>
      </c>
      <c r="C44" s="71">
        <f t="shared" ref="C44:D44" si="13">C42+C32</f>
        <v>9086667</v>
      </c>
      <c r="D44" s="73">
        <f t="shared" si="13"/>
        <v>6645632</v>
      </c>
      <c r="E44" s="73">
        <f t="shared" ref="E44:J44" si="14">E42+E32</f>
        <v>4688658</v>
      </c>
      <c r="F44" s="73">
        <f t="shared" si="14"/>
        <v>4114323</v>
      </c>
      <c r="G44" s="73">
        <f t="shared" si="14"/>
        <v>3147743</v>
      </c>
      <c r="H44" s="73">
        <f t="shared" si="14"/>
        <v>2283526</v>
      </c>
      <c r="I44" s="73">
        <f t="shared" si="14"/>
        <v>1138900</v>
      </c>
      <c r="J44" s="73">
        <f t="shared" si="14"/>
        <v>970074</v>
      </c>
      <c r="K44" s="73">
        <f>K32+K42</f>
        <v>897704</v>
      </c>
      <c r="L44" s="73">
        <f>L32+L42</f>
        <v>796753</v>
      </c>
      <c r="M44" s="73">
        <f t="shared" ref="M44:O44" si="15">M32+M42</f>
        <v>727119</v>
      </c>
      <c r="N44" s="73">
        <f t="shared" si="15"/>
        <v>658317</v>
      </c>
      <c r="O44" s="73">
        <f t="shared" si="15"/>
        <v>556981</v>
      </c>
    </row>
    <row r="45" spans="2:15" s="26" customFormat="1" ht="6.75" customHeight="1">
      <c r="B45" s="79"/>
      <c r="C45" s="79"/>
      <c r="D45" s="79"/>
      <c r="E45" s="79"/>
      <c r="F45" s="79"/>
      <c r="G45" s="79"/>
      <c r="H45" s="79"/>
      <c r="I45" s="80"/>
      <c r="J45" s="79"/>
      <c r="K45" s="80"/>
      <c r="L45" s="80"/>
      <c r="M45" s="80"/>
      <c r="N45" s="80"/>
      <c r="O45" s="79"/>
    </row>
    <row r="46" spans="2:15" s="26" customFormat="1" ht="14.25" customHeight="1">
      <c r="B46" s="81" t="s">
        <v>18</v>
      </c>
      <c r="C46" s="81"/>
      <c r="D46" s="81"/>
      <c r="E46" s="81"/>
      <c r="F46" s="81"/>
      <c r="G46" s="81"/>
      <c r="H46" s="81"/>
      <c r="I46" s="87"/>
      <c r="J46" s="87"/>
      <c r="K46" s="87"/>
      <c r="L46" s="87"/>
      <c r="M46" s="87"/>
      <c r="N46" s="87"/>
      <c r="O46" s="87"/>
    </row>
    <row r="47" spans="2:15" s="26" customFormat="1" ht="14.25" customHeight="1">
      <c r="B47" s="81" t="s">
        <v>152</v>
      </c>
      <c r="C47" s="81"/>
      <c r="D47" s="81"/>
      <c r="E47" s="81"/>
      <c r="F47" s="81"/>
      <c r="G47" s="81"/>
      <c r="H47" s="81"/>
      <c r="J47" s="81"/>
    </row>
    <row r="48" spans="2:15" s="26" customFormat="1"/>
    <row r="49" spans="2:15" s="26" customFormat="1" ht="18">
      <c r="B49" s="82" t="s">
        <v>136</v>
      </c>
    </row>
    <row r="50" spans="2:15" s="26" customFormat="1">
      <c r="B50" s="115" t="s">
        <v>65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s="26" customFormat="1">
      <c r="B51" s="116"/>
      <c r="C51" s="10">
        <v>46022</v>
      </c>
      <c r="D51" s="10">
        <v>45657</v>
      </c>
      <c r="E51" s="10">
        <v>45291</v>
      </c>
      <c r="F51" s="10">
        <v>44926</v>
      </c>
      <c r="G51" s="10">
        <v>44561</v>
      </c>
      <c r="H51" s="10">
        <v>44196</v>
      </c>
      <c r="I51" s="10">
        <v>43830</v>
      </c>
      <c r="J51" s="10">
        <v>43465</v>
      </c>
      <c r="K51" s="10">
        <v>43100</v>
      </c>
      <c r="L51" s="10" t="s">
        <v>63</v>
      </c>
      <c r="M51" s="10" t="s">
        <v>62</v>
      </c>
      <c r="N51" s="10">
        <v>42004</v>
      </c>
      <c r="O51" s="10">
        <v>41639</v>
      </c>
    </row>
    <row r="52" spans="2:15" s="26" customFormat="1">
      <c r="B52" s="19" t="s">
        <v>137</v>
      </c>
      <c r="C52" s="68">
        <v>12654451.354900422</v>
      </c>
      <c r="D52" s="40">
        <v>10027358.042820022</v>
      </c>
      <c r="E52" s="40">
        <v>8911488.3271801174</v>
      </c>
      <c r="F52" s="40">
        <v>7353831.6506899381</v>
      </c>
      <c r="G52" s="40">
        <v>7857897.2538900189</v>
      </c>
      <c r="H52" s="40">
        <v>6743974.2895833757</v>
      </c>
      <c r="I52" s="40">
        <v>4435351</v>
      </c>
      <c r="J52" s="40">
        <v>2569397</v>
      </c>
      <c r="K52" s="40">
        <v>3946555</v>
      </c>
      <c r="L52" s="40">
        <v>3071955</v>
      </c>
      <c r="M52" s="40">
        <v>2238608</v>
      </c>
      <c r="N52" s="40">
        <v>2276320</v>
      </c>
      <c r="O52" s="40">
        <v>2175137</v>
      </c>
    </row>
    <row r="53" spans="2:15" s="26" customFormat="1">
      <c r="B53" s="19" t="s">
        <v>157</v>
      </c>
      <c r="C53" s="69">
        <v>27283557</v>
      </c>
      <c r="D53" s="25">
        <v>13681597</v>
      </c>
      <c r="E53" s="25">
        <v>6147595</v>
      </c>
      <c r="F53" s="25">
        <v>3445397</v>
      </c>
      <c r="G53" s="25">
        <v>2452320</v>
      </c>
      <c r="H53" s="25">
        <v>871596</v>
      </c>
      <c r="I53" s="25">
        <v>109185</v>
      </c>
      <c r="J53" s="25">
        <v>37079</v>
      </c>
      <c r="K53" s="25">
        <v>412</v>
      </c>
      <c r="L53" s="25">
        <v>542</v>
      </c>
      <c r="M53" s="25">
        <v>562</v>
      </c>
      <c r="N53" s="25">
        <v>10860</v>
      </c>
      <c r="O53" s="25">
        <v>146603</v>
      </c>
    </row>
    <row r="54" spans="2:15" s="26" customFormat="1">
      <c r="B54" s="19" t="s">
        <v>51</v>
      </c>
      <c r="C54" s="94">
        <f>C9</f>
        <v>5864393.2599999998</v>
      </c>
      <c r="D54" s="93">
        <f>D9</f>
        <v>3751303</v>
      </c>
      <c r="E54" s="93">
        <f t="shared" ref="E54:O54" si="16">E9</f>
        <v>2266859</v>
      </c>
      <c r="F54" s="93">
        <f t="shared" si="16"/>
        <v>1938503</v>
      </c>
      <c r="G54" s="93">
        <f t="shared" si="16"/>
        <v>1786869</v>
      </c>
      <c r="H54" s="93">
        <f t="shared" si="16"/>
        <v>1033602</v>
      </c>
      <c r="I54" s="93">
        <f t="shared" si="16"/>
        <v>470845</v>
      </c>
      <c r="J54" s="93">
        <f t="shared" si="16"/>
        <v>363908</v>
      </c>
      <c r="K54" s="93">
        <f t="shared" si="16"/>
        <v>378471</v>
      </c>
      <c r="L54" s="93">
        <f t="shared" si="16"/>
        <v>375642</v>
      </c>
      <c r="M54" s="93">
        <f t="shared" si="16"/>
        <v>298138</v>
      </c>
      <c r="N54" s="93">
        <f t="shared" si="16"/>
        <v>267966</v>
      </c>
      <c r="O54" s="93">
        <f t="shared" si="16"/>
        <v>245087</v>
      </c>
    </row>
    <row r="55" spans="2:15" s="26" customFormat="1">
      <c r="B55" s="70" t="s">
        <v>138</v>
      </c>
      <c r="C55" s="71">
        <f t="shared" ref="C55:O55" si="17">SUM(C52:C54)</f>
        <v>45802401.614900418</v>
      </c>
      <c r="D55" s="73">
        <f t="shared" ref="D55" si="18">SUM(D52:D54)</f>
        <v>27460258.042820022</v>
      </c>
      <c r="E55" s="73">
        <f t="shared" si="17"/>
        <v>17325942.327180117</v>
      </c>
      <c r="F55" s="73">
        <f t="shared" si="17"/>
        <v>12737731.650689937</v>
      </c>
      <c r="G55" s="73">
        <f t="shared" si="17"/>
        <v>12097086.253890019</v>
      </c>
      <c r="H55" s="73">
        <f t="shared" si="17"/>
        <v>8649172.2895833757</v>
      </c>
      <c r="I55" s="73">
        <f t="shared" si="17"/>
        <v>5015381</v>
      </c>
      <c r="J55" s="73">
        <f t="shared" si="17"/>
        <v>2970384</v>
      </c>
      <c r="K55" s="73">
        <f t="shared" si="17"/>
        <v>4325438</v>
      </c>
      <c r="L55" s="73">
        <f t="shared" si="17"/>
        <v>3448139</v>
      </c>
      <c r="M55" s="73">
        <f t="shared" si="17"/>
        <v>2537308</v>
      </c>
      <c r="N55" s="73">
        <f t="shared" si="17"/>
        <v>2555146</v>
      </c>
      <c r="O55" s="73">
        <f t="shared" si="17"/>
        <v>2566827</v>
      </c>
    </row>
    <row r="56" spans="2:15" s="26" customFormat="1">
      <c r="C56" s="39"/>
      <c r="D56" s="39"/>
      <c r="E56" s="39"/>
      <c r="F56" s="39"/>
      <c r="G56" s="39"/>
      <c r="H56" s="39"/>
    </row>
    <row r="57" spans="2:15" s="26" customFormat="1"/>
    <row r="58" spans="2:15" s="26" customFormat="1"/>
    <row r="59" spans="2:15" s="26" customFormat="1"/>
    <row r="60" spans="2:15" s="26" customFormat="1"/>
    <row r="61" spans="2:15" s="26" customFormat="1"/>
    <row r="62" spans="2:15" s="26" customFormat="1"/>
    <row r="63" spans="2:15" s="26" customFormat="1"/>
    <row r="64" spans="2:15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</sheetData>
  <mergeCells count="3">
    <mergeCell ref="B1:O2"/>
    <mergeCell ref="B4:B5"/>
    <mergeCell ref="B50:B5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2" min="4" max="44" man="1"/>
    <brk id="13" min="4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HB5690"/>
  <sheetViews>
    <sheetView tabSelected="1" zoomScaleNormal="100" workbookViewId="0">
      <pane xSplit="2" ySplit="5" topLeftCell="C11" activePane="bottomRight" state="frozen"/>
      <selection pane="topRight" activeCell="C1" sqref="C1"/>
      <selection pane="bottomLeft" activeCell="A6" sqref="A6"/>
      <selection pane="bottomRight" activeCell="E59" sqref="E59"/>
    </sheetView>
  </sheetViews>
  <sheetFormatPr defaultColWidth="8.7265625" defaultRowHeight="14" outlineLevelRow="1"/>
  <cols>
    <col min="1" max="1" width="1.1796875" style="26" customWidth="1"/>
    <col min="2" max="2" width="55.1796875" style="66" customWidth="1"/>
    <col min="3" max="3" width="13.6328125" style="66" customWidth="1"/>
    <col min="4" max="5" width="14" style="66" customWidth="1"/>
    <col min="6" max="43" width="12.7265625" style="66" customWidth="1"/>
    <col min="44" max="886" width="9" style="26"/>
    <col min="887" max="16384" width="8.7265625" style="66"/>
  </cols>
  <sheetData>
    <row r="1" spans="2:46" s="26" customFormat="1" ht="17.25" customHeight="1">
      <c r="B1" s="117" t="s">
        <v>66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</row>
    <row r="2" spans="2:46" s="26" customFormat="1" ht="17.25" customHeight="1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</row>
    <row r="3" spans="2:46" s="26" customFormat="1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</row>
    <row r="4" spans="2:46" ht="15" customHeight="1">
      <c r="B4" s="115" t="s">
        <v>65</v>
      </c>
      <c r="C4" s="5"/>
      <c r="D4" s="5"/>
      <c r="E4" s="5"/>
      <c r="F4" s="5"/>
      <c r="G4" s="5"/>
      <c r="H4" s="118" t="s">
        <v>54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</row>
    <row r="5" spans="2:46" ht="23">
      <c r="B5" s="116"/>
      <c r="C5" s="6" t="s">
        <v>162</v>
      </c>
      <c r="D5" s="6" t="s">
        <v>156</v>
      </c>
      <c r="E5" s="6" t="s">
        <v>154</v>
      </c>
      <c r="F5" s="6" t="s">
        <v>153</v>
      </c>
      <c r="G5" s="6" t="s">
        <v>121</v>
      </c>
      <c r="H5" s="7" t="s">
        <v>120</v>
      </c>
      <c r="I5" s="8" t="s">
        <v>118</v>
      </c>
      <c r="J5" s="8" t="s">
        <v>114</v>
      </c>
      <c r="K5" s="8" t="s">
        <v>107</v>
      </c>
      <c r="L5" s="7" t="s">
        <v>141</v>
      </c>
      <c r="M5" s="8" t="s">
        <v>142</v>
      </c>
      <c r="N5" s="8" t="s">
        <v>143</v>
      </c>
      <c r="O5" s="8" t="s">
        <v>144</v>
      </c>
      <c r="P5" s="7" t="s">
        <v>145</v>
      </c>
      <c r="Q5" s="8" t="s">
        <v>148</v>
      </c>
      <c r="R5" s="8" t="s">
        <v>147</v>
      </c>
      <c r="S5" s="8" t="s">
        <v>146</v>
      </c>
      <c r="T5" s="7" t="s">
        <v>97</v>
      </c>
      <c r="U5" s="8" t="s">
        <v>96</v>
      </c>
      <c r="V5" s="8" t="s">
        <v>95</v>
      </c>
      <c r="W5" s="9" t="s">
        <v>94</v>
      </c>
      <c r="X5" s="7" t="s">
        <v>93</v>
      </c>
      <c r="Y5" s="8" t="s">
        <v>91</v>
      </c>
      <c r="Z5" s="8" t="s">
        <v>90</v>
      </c>
      <c r="AA5" s="9" t="s">
        <v>87</v>
      </c>
      <c r="AB5" s="7" t="s">
        <v>81</v>
      </c>
      <c r="AC5" s="8" t="s">
        <v>80</v>
      </c>
      <c r="AD5" s="8" t="s">
        <v>79</v>
      </c>
      <c r="AE5" s="9" t="s">
        <v>83</v>
      </c>
      <c r="AF5" s="7" t="s">
        <v>73</v>
      </c>
      <c r="AG5" s="8" t="s">
        <v>72</v>
      </c>
      <c r="AH5" s="8" t="s">
        <v>71</v>
      </c>
      <c r="AI5" s="9" t="s">
        <v>84</v>
      </c>
      <c r="AJ5" s="7" t="s">
        <v>67</v>
      </c>
      <c r="AK5" s="8" t="s">
        <v>59</v>
      </c>
      <c r="AL5" s="8" t="s">
        <v>58</v>
      </c>
      <c r="AM5" s="9" t="s">
        <v>85</v>
      </c>
      <c r="AN5" s="7" t="s">
        <v>57</v>
      </c>
      <c r="AO5" s="8" t="s">
        <v>56</v>
      </c>
      <c r="AP5" s="8" t="s">
        <v>55</v>
      </c>
      <c r="AQ5" s="9" t="s">
        <v>86</v>
      </c>
    </row>
    <row r="6" spans="2:46" s="26" customFormat="1">
      <c r="B6" s="19" t="s">
        <v>0</v>
      </c>
      <c r="C6" s="20">
        <f t="shared" ref="C6:H6" si="0">SUM(C7:C15)</f>
        <v>1065748</v>
      </c>
      <c r="D6" s="25">
        <f t="shared" si="0"/>
        <v>579142</v>
      </c>
      <c r="E6" s="25">
        <f t="shared" si="0"/>
        <v>348782</v>
      </c>
      <c r="F6" s="25">
        <f t="shared" si="0"/>
        <v>558812</v>
      </c>
      <c r="G6" s="25">
        <f t="shared" si="0"/>
        <v>557846</v>
      </c>
      <c r="H6" s="90">
        <f t="shared" si="0"/>
        <v>444504</v>
      </c>
      <c r="I6" s="40">
        <f t="shared" ref="I6:J6" si="1">SUM(I7:I15)</f>
        <v>453153</v>
      </c>
      <c r="J6" s="40">
        <f t="shared" si="1"/>
        <v>363320</v>
      </c>
      <c r="K6" s="41">
        <f>SUM(K7:K15)</f>
        <v>539598</v>
      </c>
      <c r="L6" s="21">
        <f>SUM(L7:L15)</f>
        <v>488865</v>
      </c>
      <c r="M6" s="25">
        <f t="shared" ref="M6" si="2">SUM(M7:M15)</f>
        <v>272943</v>
      </c>
      <c r="N6" s="25">
        <f t="shared" ref="N6" si="3">SUM(N7:N15)</f>
        <v>284137</v>
      </c>
      <c r="O6" s="22">
        <f>SUM(O7:O15)</f>
        <v>528546</v>
      </c>
      <c r="P6" s="21">
        <f>SUM(P7:P15)</f>
        <v>214476</v>
      </c>
      <c r="Q6" s="25">
        <f t="shared" ref="Q6" si="4">SUM(Q7:Q15)</f>
        <v>389568</v>
      </c>
      <c r="R6" s="25">
        <f t="shared" ref="R6" si="5">SUM(R7:R15)</f>
        <v>394991</v>
      </c>
      <c r="S6" s="22">
        <f>SUM(S7:S15)</f>
        <v>438125</v>
      </c>
      <c r="T6" s="21">
        <f>SUM(T7:T15)</f>
        <v>180549</v>
      </c>
      <c r="U6" s="25">
        <f t="shared" ref="U6" si="6">SUM(U7:U15)</f>
        <v>198731</v>
      </c>
      <c r="V6" s="25">
        <f t="shared" ref="V6" si="7">SUM(V7:V15)</f>
        <v>53777</v>
      </c>
      <c r="W6" s="22">
        <f>SUM(W7:W15)</f>
        <v>185396</v>
      </c>
      <c r="X6" s="21">
        <f>SUM(X7:X15)</f>
        <v>138742</v>
      </c>
      <c r="Y6" s="25">
        <f t="shared" ref="Y6" si="8">SUM(Y7:Y15)</f>
        <v>138648</v>
      </c>
      <c r="Z6" s="25">
        <f t="shared" ref="Z6" si="9">SUM(Z7:Z15)</f>
        <v>210389</v>
      </c>
      <c r="AA6" s="22">
        <f>SUM(AA7:AA15)</f>
        <v>305009</v>
      </c>
      <c r="AB6" s="21">
        <f>SUM(AB7:AB15)</f>
        <v>87877</v>
      </c>
      <c r="AC6" s="25">
        <f t="shared" ref="AC6" si="10">SUM(AC7:AC15)</f>
        <v>59792</v>
      </c>
      <c r="AD6" s="25">
        <f t="shared" ref="AD6" si="11">SUM(AD7:AD15)</f>
        <v>46184</v>
      </c>
      <c r="AE6" s="22">
        <f>SUM(AE7:AE15)</f>
        <v>39253</v>
      </c>
      <c r="AF6" s="21">
        <f>SUM(AF7:AF15)</f>
        <v>41143</v>
      </c>
      <c r="AG6" s="25">
        <f t="shared" ref="AG6" si="12">SUM(AG7:AG15)</f>
        <v>46014</v>
      </c>
      <c r="AH6" s="25">
        <f t="shared" ref="AH6" si="13">SUM(AH7:AH15)</f>
        <v>81765</v>
      </c>
      <c r="AI6" s="22">
        <f>SUM(AI7:AI15)</f>
        <v>112551</v>
      </c>
      <c r="AJ6" s="21">
        <f>SUM(AJ7:AJ15)</f>
        <v>74232</v>
      </c>
      <c r="AK6" s="25">
        <f t="shared" ref="AK6" si="14">SUM(AK7:AK15)</f>
        <v>71996</v>
      </c>
      <c r="AL6" s="25">
        <f t="shared" ref="AL6" si="15">SUM(AL7:AL15)</f>
        <v>65310</v>
      </c>
      <c r="AM6" s="22">
        <f>SUM(AM7:AM15)</f>
        <v>57650</v>
      </c>
      <c r="AN6" s="21">
        <f>SUM(AN7:AN15)</f>
        <v>92628</v>
      </c>
      <c r="AO6" s="25">
        <f t="shared" ref="AO6" si="16">SUM(AO7:AO15)</f>
        <v>41494</v>
      </c>
      <c r="AP6" s="25">
        <f t="shared" ref="AP6" si="17">SUM(AP7:AP15)</f>
        <v>29629</v>
      </c>
      <c r="AQ6" s="22">
        <f>SUM(AQ7:AQ15)</f>
        <v>81465</v>
      </c>
      <c r="AR6" s="39"/>
      <c r="AT6" s="39"/>
    </row>
    <row r="7" spans="2:46" s="43" customFormat="1" ht="14.5" outlineLevel="1">
      <c r="B7" s="27" t="s">
        <v>122</v>
      </c>
      <c r="C7" s="107">
        <v>965670</v>
      </c>
      <c r="D7" s="86">
        <v>365796</v>
      </c>
      <c r="E7" s="33">
        <v>178015</v>
      </c>
      <c r="F7" s="33">
        <v>213120</v>
      </c>
      <c r="G7" s="33">
        <v>166783</v>
      </c>
      <c r="H7" s="29">
        <f>896672-I7-J7-K7</f>
        <v>268567</v>
      </c>
      <c r="I7" s="33">
        <v>178586</v>
      </c>
      <c r="J7" s="33">
        <f>449519-K7</f>
        <v>180087</v>
      </c>
      <c r="K7" s="30">
        <v>269432</v>
      </c>
      <c r="L7" s="29">
        <f>650847-M7-N7-O7</f>
        <v>189966</v>
      </c>
      <c r="M7" s="33">
        <v>137259</v>
      </c>
      <c r="N7" s="33">
        <f>323622-O7</f>
        <v>58909</v>
      </c>
      <c r="O7" s="30">
        <v>264713</v>
      </c>
      <c r="P7" s="29">
        <f>501314-Q7-R7-S7</f>
        <v>92403</v>
      </c>
      <c r="Q7" s="33">
        <v>111421</v>
      </c>
      <c r="R7" s="33">
        <f>297490-S7</f>
        <v>162411</v>
      </c>
      <c r="S7" s="30">
        <v>135079</v>
      </c>
      <c r="T7" s="29">
        <f>313948-U7-V7-W7</f>
        <v>41129</v>
      </c>
      <c r="U7" s="33">
        <v>118572</v>
      </c>
      <c r="V7" s="33">
        <f>154247-W7</f>
        <v>52764</v>
      </c>
      <c r="W7" s="30">
        <v>101483</v>
      </c>
      <c r="X7" s="29">
        <f>263949-Y7-Z7-AA7</f>
        <v>21640</v>
      </c>
      <c r="Y7" s="33">
        <v>32266</v>
      </c>
      <c r="Z7" s="33">
        <f>210043-AA7</f>
        <v>53498</v>
      </c>
      <c r="AA7" s="30">
        <v>156545</v>
      </c>
      <c r="AB7" s="29">
        <f>12021-AC7-AD7-AE7</f>
        <v>815</v>
      </c>
      <c r="AC7" s="33">
        <v>5256</v>
      </c>
      <c r="AD7" s="33">
        <f>5950-AE7</f>
        <v>3270</v>
      </c>
      <c r="AE7" s="30">
        <v>2680</v>
      </c>
      <c r="AF7" s="29">
        <f>69499-AG7-AH7-AI7</f>
        <v>9316</v>
      </c>
      <c r="AG7" s="33">
        <v>27865</v>
      </c>
      <c r="AH7" s="33">
        <f>32318-AI7</f>
        <v>20972</v>
      </c>
      <c r="AI7" s="30">
        <v>11346</v>
      </c>
      <c r="AJ7" s="29">
        <f>33098-AK7-AL7-AM7</f>
        <v>9710</v>
      </c>
      <c r="AK7" s="33">
        <v>5544</v>
      </c>
      <c r="AL7" s="33">
        <f>17844-AM7</f>
        <v>15013</v>
      </c>
      <c r="AM7" s="30">
        <v>2831</v>
      </c>
      <c r="AN7" s="29">
        <f>58069-AO7-AP7-AQ7</f>
        <v>27022</v>
      </c>
      <c r="AO7" s="33">
        <v>11609</v>
      </c>
      <c r="AP7" s="33">
        <v>4756</v>
      </c>
      <c r="AQ7" s="30">
        <v>14682</v>
      </c>
      <c r="AR7" s="42"/>
      <c r="AT7" s="42"/>
    </row>
    <row r="8" spans="2:46" s="43" customFormat="1" ht="14.5" outlineLevel="1">
      <c r="B8" s="27" t="s">
        <v>123</v>
      </c>
      <c r="C8" s="107">
        <v>22858</v>
      </c>
      <c r="D8" s="86">
        <v>109495</v>
      </c>
      <c r="E8" s="33">
        <v>118984</v>
      </c>
      <c r="F8" s="33">
        <v>232594</v>
      </c>
      <c r="G8" s="33">
        <v>299663</v>
      </c>
      <c r="H8" s="29">
        <f>622728-I8-J8-K8</f>
        <v>66092</v>
      </c>
      <c r="I8" s="33">
        <v>209517</v>
      </c>
      <c r="J8" s="33">
        <f>347119-K8</f>
        <v>114953</v>
      </c>
      <c r="K8" s="30">
        <v>232166</v>
      </c>
      <c r="L8" s="29">
        <f>781285-M8-N8-O8</f>
        <v>271873</v>
      </c>
      <c r="M8" s="33">
        <v>73133</v>
      </c>
      <c r="N8" s="33">
        <f>436279-O8</f>
        <v>190467</v>
      </c>
      <c r="O8" s="30">
        <v>245812</v>
      </c>
      <c r="P8" s="29">
        <f>687424-Q8-R8-S8</f>
        <v>118636</v>
      </c>
      <c r="Q8" s="33">
        <v>150892</v>
      </c>
      <c r="R8" s="33">
        <f>417896-S8</f>
        <v>160989</v>
      </c>
      <c r="S8" s="30">
        <v>256907</v>
      </c>
      <c r="T8" s="29">
        <f>209304-U8-V8-W8</f>
        <v>61899</v>
      </c>
      <c r="U8" s="33">
        <v>45783</v>
      </c>
      <c r="V8" s="33">
        <f>101622-W8</f>
        <v>26495</v>
      </c>
      <c r="W8" s="30">
        <v>75127</v>
      </c>
      <c r="X8" s="29">
        <f>425917-Y8-Z8-AA8</f>
        <v>99935</v>
      </c>
      <c r="Y8" s="33">
        <v>73164</v>
      </c>
      <c r="Z8" s="33">
        <f>252818-AA8</f>
        <v>142136</v>
      </c>
      <c r="AA8" s="30">
        <v>110682</v>
      </c>
      <c r="AB8" s="29">
        <f>175116-AC8-AD8-AE8</f>
        <v>80584</v>
      </c>
      <c r="AC8" s="33">
        <v>21937</v>
      </c>
      <c r="AD8" s="33">
        <f>72595-AE8</f>
        <v>37232</v>
      </c>
      <c r="AE8" s="30">
        <v>35363</v>
      </c>
      <c r="AF8" s="29">
        <f>141924-AG8-AH8-AI8</f>
        <v>32910</v>
      </c>
      <c r="AG8" s="33">
        <v>8786</v>
      </c>
      <c r="AH8" s="33">
        <f>100228-AI8</f>
        <v>34694</v>
      </c>
      <c r="AI8" s="30">
        <v>65534</v>
      </c>
      <c r="AJ8" s="29">
        <f>168852-AK8-AL8-AM8</f>
        <v>67797</v>
      </c>
      <c r="AK8" s="33">
        <v>36530</v>
      </c>
      <c r="AL8" s="33">
        <f>64525-AM8</f>
        <v>21276</v>
      </c>
      <c r="AM8" s="30">
        <v>43249</v>
      </c>
      <c r="AN8" s="29">
        <f>117756-AO8-AP8-AQ8</f>
        <v>26977</v>
      </c>
      <c r="AO8" s="33">
        <v>27111</v>
      </c>
      <c r="AP8" s="33">
        <v>19820</v>
      </c>
      <c r="AQ8" s="30">
        <v>43848</v>
      </c>
      <c r="AR8" s="42"/>
      <c r="AT8" s="42"/>
    </row>
    <row r="9" spans="2:46" s="43" customFormat="1" ht="14.5" outlineLevel="1">
      <c r="B9" s="27" t="s">
        <v>124</v>
      </c>
      <c r="C9" s="107">
        <v>55550</v>
      </c>
      <c r="D9" s="86">
        <v>71891</v>
      </c>
      <c r="E9" s="33">
        <v>39589</v>
      </c>
      <c r="F9" s="33">
        <v>101650</v>
      </c>
      <c r="G9" s="33">
        <v>77278</v>
      </c>
      <c r="H9" s="29">
        <f>272276-I9-J9-K9</f>
        <v>108716</v>
      </c>
      <c r="I9" s="33">
        <v>68005</v>
      </c>
      <c r="J9" s="33">
        <f>95555-K9</f>
        <v>58702</v>
      </c>
      <c r="K9" s="30">
        <v>36853</v>
      </c>
      <c r="L9" s="29">
        <f>165161-M9-N9-O9</f>
        <v>36117</v>
      </c>
      <c r="M9" s="33">
        <v>63968</v>
      </c>
      <c r="N9" s="33">
        <f>65076-O9</f>
        <v>42224</v>
      </c>
      <c r="O9" s="30">
        <v>22852</v>
      </c>
      <c r="P9" s="29">
        <f>251429-Q9-R9-S9</f>
        <v>12739</v>
      </c>
      <c r="Q9" s="33">
        <v>124222</v>
      </c>
      <c r="R9" s="33">
        <f>114468-S9</f>
        <v>72621</v>
      </c>
      <c r="S9" s="30">
        <v>41847</v>
      </c>
      <c r="T9" s="29">
        <f>79761-U9-V9-W9</f>
        <v>67108</v>
      </c>
      <c r="U9" s="33">
        <v>31986</v>
      </c>
      <c r="V9" s="33">
        <f>-19333-W9</f>
        <v>-24364</v>
      </c>
      <c r="W9" s="30">
        <v>5031</v>
      </c>
      <c r="X9" s="29">
        <f>91951-Y9-Z9-AA9</f>
        <v>18901</v>
      </c>
      <c r="Y9" s="33">
        <v>28307</v>
      </c>
      <c r="Z9" s="33">
        <f>44743-AA9</f>
        <v>10695</v>
      </c>
      <c r="AA9" s="30">
        <v>34048</v>
      </c>
      <c r="AB9" s="29">
        <f>42624-AC9-AD9-AE9</f>
        <v>6163</v>
      </c>
      <c r="AC9" s="33">
        <v>31125</v>
      </c>
      <c r="AD9" s="33">
        <f>5336-AE9</f>
        <v>4903</v>
      </c>
      <c r="AE9" s="30">
        <v>433</v>
      </c>
      <c r="AF9" s="29">
        <f>67192-AG9-AH9-AI9</f>
        <v>-874</v>
      </c>
      <c r="AG9" s="33">
        <v>10445</v>
      </c>
      <c r="AH9" s="33">
        <f>57621-AI9</f>
        <v>24343</v>
      </c>
      <c r="AI9" s="30">
        <v>33278</v>
      </c>
      <c r="AJ9" s="29">
        <f>67659-AK9-AL9-AM9</f>
        <v>-2463</v>
      </c>
      <c r="AK9" s="33">
        <v>29380</v>
      </c>
      <c r="AL9" s="33">
        <f>40742-AM9</f>
        <v>28960</v>
      </c>
      <c r="AM9" s="30">
        <v>11782</v>
      </c>
      <c r="AN9" s="29">
        <f>71385-AO9-AP9-AQ9</f>
        <v>39500</v>
      </c>
      <c r="AO9" s="33">
        <v>3742</v>
      </c>
      <c r="AP9" s="33">
        <v>5932</v>
      </c>
      <c r="AQ9" s="30">
        <v>22211</v>
      </c>
      <c r="AR9" s="42"/>
      <c r="AT9" s="42"/>
    </row>
    <row r="10" spans="2:46" s="43" customFormat="1" ht="14.5" outlineLevel="1">
      <c r="B10" s="27" t="s">
        <v>158</v>
      </c>
      <c r="C10" s="107">
        <v>21462</v>
      </c>
      <c r="D10" s="86">
        <v>14516</v>
      </c>
      <c r="E10" s="33">
        <v>24633</v>
      </c>
      <c r="F10" s="33">
        <v>14400</v>
      </c>
      <c r="G10" s="33">
        <v>6498</v>
      </c>
      <c r="H10" s="29">
        <f>44762-I10-J10-K10</f>
        <v>15129</v>
      </c>
      <c r="I10" s="33">
        <v>8700</v>
      </c>
      <c r="J10" s="33">
        <f>20933-K10</f>
        <v>14052</v>
      </c>
      <c r="K10" s="30">
        <v>6881</v>
      </c>
      <c r="L10" s="29">
        <f>24261-M10-N10-O10</f>
        <v>2677</v>
      </c>
      <c r="M10" s="33">
        <v>12219</v>
      </c>
      <c r="N10" s="33">
        <f>9365-O10</f>
        <v>2422</v>
      </c>
      <c r="O10" s="30">
        <v>6943</v>
      </c>
      <c r="P10" s="29">
        <f>36816-Q10-R10-S10</f>
        <v>1117</v>
      </c>
      <c r="Q10" s="33">
        <v>12550</v>
      </c>
      <c r="R10" s="33">
        <f>23149-S10</f>
        <v>11019</v>
      </c>
      <c r="S10" s="30">
        <v>12130</v>
      </c>
      <c r="T10" s="29">
        <f>34885-U10-V10-W10</f>
        <v>16496</v>
      </c>
      <c r="U10" s="33">
        <v>8167</v>
      </c>
      <c r="V10" s="33">
        <f>10222-W10</f>
        <v>3573</v>
      </c>
      <c r="W10" s="30">
        <v>6649</v>
      </c>
      <c r="X10" s="29">
        <f>12885-Y10-Z10-AA10</f>
        <v>4373</v>
      </c>
      <c r="Y10" s="33">
        <v>4112</v>
      </c>
      <c r="Z10" s="33">
        <f>4400-AA10</f>
        <v>1900</v>
      </c>
      <c r="AA10" s="30">
        <v>2500</v>
      </c>
      <c r="AB10" s="29">
        <f>2313-AC10-AD10-AE10</f>
        <v>-56</v>
      </c>
      <c r="AC10" s="33">
        <v>1207</v>
      </c>
      <c r="AD10" s="33">
        <f>1162-AE10</f>
        <v>535</v>
      </c>
      <c r="AE10" s="30">
        <v>627</v>
      </c>
      <c r="AF10" s="29">
        <f>2878-AG10-AH10-AI10</f>
        <v>423</v>
      </c>
      <c r="AG10" s="33">
        <v>187</v>
      </c>
      <c r="AH10" s="33">
        <f>2268-AI10</f>
        <v>1312</v>
      </c>
      <c r="AI10" s="30">
        <v>956</v>
      </c>
      <c r="AJ10" s="29">
        <f>1899-AK10-AL10-AM10</f>
        <v>-972</v>
      </c>
      <c r="AK10" s="33">
        <v>918</v>
      </c>
      <c r="AL10" s="33">
        <f>1953-AM10</f>
        <v>1482</v>
      </c>
      <c r="AM10" s="30">
        <v>471</v>
      </c>
      <c r="AN10" s="29">
        <f>1454-AO10-AP10-AQ10</f>
        <v>510</v>
      </c>
      <c r="AO10" s="33">
        <v>389</v>
      </c>
      <c r="AP10" s="33">
        <v>259</v>
      </c>
      <c r="AQ10" s="30">
        <v>296</v>
      </c>
      <c r="AR10" s="42"/>
      <c r="AT10" s="42"/>
    </row>
    <row r="11" spans="2:46" s="43" customFormat="1" ht="14.5" outlineLevel="1">
      <c r="B11" s="27" t="s">
        <v>125</v>
      </c>
      <c r="C11" s="101">
        <v>59</v>
      </c>
      <c r="D11" s="86">
        <v>37</v>
      </c>
      <c r="E11" s="33">
        <v>7</v>
      </c>
      <c r="F11" s="33">
        <v>-11</v>
      </c>
      <c r="G11" s="33">
        <v>68</v>
      </c>
      <c r="H11" s="29">
        <f>735-I11-J11-K11</f>
        <v>465</v>
      </c>
      <c r="I11" s="33">
        <v>-158</v>
      </c>
      <c r="J11" s="33">
        <f>428-K11</f>
        <v>170</v>
      </c>
      <c r="K11" s="30">
        <v>258</v>
      </c>
      <c r="L11" s="29">
        <f>1079-M11-N11-O11</f>
        <v>-94</v>
      </c>
      <c r="M11" s="33">
        <v>480</v>
      </c>
      <c r="N11" s="33">
        <f>693-O11</f>
        <v>516</v>
      </c>
      <c r="O11" s="30">
        <v>177</v>
      </c>
      <c r="P11" s="29">
        <f>796-Q11-R11-S11</f>
        <v>248</v>
      </c>
      <c r="Q11" s="33">
        <v>1778</v>
      </c>
      <c r="R11" s="33">
        <f>-1230-S11</f>
        <v>149</v>
      </c>
      <c r="S11" s="30">
        <v>-1379</v>
      </c>
      <c r="T11" s="29">
        <f>223-U11-V11-W11</f>
        <v>86</v>
      </c>
      <c r="U11" s="33">
        <v>60</v>
      </c>
      <c r="V11" s="33">
        <f>77-W11</f>
        <v>-1</v>
      </c>
      <c r="W11" s="30">
        <v>78</v>
      </c>
      <c r="X11" s="29">
        <f>198-Y11-Z11-AA11</f>
        <v>6</v>
      </c>
      <c r="Y11" s="33">
        <v>54</v>
      </c>
      <c r="Z11" s="33">
        <f>138-AA11</f>
        <v>-25</v>
      </c>
      <c r="AA11" s="30">
        <v>163</v>
      </c>
      <c r="AB11" s="29">
        <f>771-AC11-AD11-AE11</f>
        <v>-296</v>
      </c>
      <c r="AC11" s="33">
        <v>404</v>
      </c>
      <c r="AD11" s="33">
        <f>663-AE11</f>
        <v>334</v>
      </c>
      <c r="AE11" s="30">
        <v>329</v>
      </c>
      <c r="AF11" s="29">
        <f>589-AG11-AH11-AI11</f>
        <v>272</v>
      </c>
      <c r="AG11" s="33">
        <v>-5</v>
      </c>
      <c r="AH11" s="33">
        <f>322-AI11</f>
        <v>173</v>
      </c>
      <c r="AI11" s="30">
        <v>149</v>
      </c>
      <c r="AJ11" s="29">
        <f>-83-AK11-AL11-AM11</f>
        <v>3</v>
      </c>
      <c r="AK11" s="33">
        <v>171</v>
      </c>
      <c r="AL11" s="33">
        <f>-257-AM11</f>
        <v>-134</v>
      </c>
      <c r="AM11" s="30">
        <v>-123</v>
      </c>
      <c r="AN11" s="29">
        <f>1116-AO11-AP11-AQ11</f>
        <v>-235</v>
      </c>
      <c r="AO11" s="33">
        <v>113</v>
      </c>
      <c r="AP11" s="33">
        <v>371</v>
      </c>
      <c r="AQ11" s="30">
        <v>867</v>
      </c>
      <c r="AR11" s="42"/>
      <c r="AT11" s="42"/>
    </row>
    <row r="12" spans="2:46" s="43" customFormat="1" ht="14.5" outlineLevel="1">
      <c r="B12" s="27" t="s">
        <v>139</v>
      </c>
      <c r="C12" s="101">
        <v>29</v>
      </c>
      <c r="D12" s="33">
        <v>0</v>
      </c>
      <c r="E12" s="33">
        <v>0</v>
      </c>
      <c r="F12" s="33">
        <v>0</v>
      </c>
      <c r="G12" s="33">
        <v>0</v>
      </c>
      <c r="H12" s="29">
        <v>0</v>
      </c>
      <c r="I12" s="33">
        <v>0</v>
      </c>
      <c r="J12" s="33">
        <v>0</v>
      </c>
      <c r="K12" s="30">
        <v>0</v>
      </c>
      <c r="L12" s="29">
        <v>0</v>
      </c>
      <c r="M12" s="33">
        <v>0</v>
      </c>
      <c r="N12" s="33">
        <v>0</v>
      </c>
      <c r="O12" s="30">
        <v>0</v>
      </c>
      <c r="P12" s="29">
        <v>0</v>
      </c>
      <c r="Q12" s="33">
        <v>0</v>
      </c>
      <c r="R12" s="33">
        <v>0</v>
      </c>
      <c r="S12" s="30">
        <v>0</v>
      </c>
      <c r="T12" s="29">
        <v>0</v>
      </c>
      <c r="U12" s="33">
        <v>0</v>
      </c>
      <c r="V12" s="33">
        <v>0</v>
      </c>
      <c r="W12" s="30">
        <v>0</v>
      </c>
      <c r="X12" s="29">
        <v>0</v>
      </c>
      <c r="Y12" s="33">
        <v>0</v>
      </c>
      <c r="Z12" s="33">
        <v>0</v>
      </c>
      <c r="AA12" s="30">
        <v>0</v>
      </c>
      <c r="AB12" s="29">
        <v>0</v>
      </c>
      <c r="AC12" s="33">
        <v>0</v>
      </c>
      <c r="AD12" s="33">
        <v>0</v>
      </c>
      <c r="AE12" s="30">
        <v>0</v>
      </c>
      <c r="AF12" s="29">
        <v>0</v>
      </c>
      <c r="AG12" s="33">
        <v>0</v>
      </c>
      <c r="AH12" s="33">
        <f>3947-AI12</f>
        <v>1245</v>
      </c>
      <c r="AI12" s="30">
        <v>2702</v>
      </c>
      <c r="AJ12" s="29">
        <f>6884-AK12-AL12-AM12</f>
        <v>1765</v>
      </c>
      <c r="AK12" s="33">
        <v>1376</v>
      </c>
      <c r="AL12" s="33">
        <f>3743-AM12</f>
        <v>1661</v>
      </c>
      <c r="AM12" s="30">
        <v>2082</v>
      </c>
      <c r="AN12" s="29">
        <f>5332-AO12-AP12-AQ12</f>
        <v>1980</v>
      </c>
      <c r="AO12" s="33">
        <v>1114</v>
      </c>
      <c r="AP12" s="33">
        <v>961</v>
      </c>
      <c r="AQ12" s="30">
        <v>1277</v>
      </c>
      <c r="AR12" s="42"/>
      <c r="AT12" s="42"/>
    </row>
    <row r="13" spans="2:46" s="43" customFormat="1" ht="14.5" outlineLevel="1">
      <c r="B13" s="27" t="s">
        <v>159</v>
      </c>
      <c r="C13" s="107">
        <v>25114</v>
      </c>
      <c r="D13" s="86">
        <v>36399</v>
      </c>
      <c r="E13" s="33">
        <v>5783</v>
      </c>
      <c r="F13" s="33">
        <v>13240</v>
      </c>
      <c r="G13" s="33">
        <v>22888</v>
      </c>
      <c r="H13" s="29">
        <f>30654-I13-J13-K13</f>
        <v>9391</v>
      </c>
      <c r="I13" s="33">
        <v>2439</v>
      </c>
      <c r="J13" s="33">
        <f>18824-K13</f>
        <v>10697</v>
      </c>
      <c r="K13" s="30">
        <v>8127</v>
      </c>
      <c r="L13" s="29">
        <f>11050-M13-N13-O13</f>
        <v>3544</v>
      </c>
      <c r="M13" s="33">
        <v>961</v>
      </c>
      <c r="N13" s="33">
        <f>6545-O13</f>
        <v>4147</v>
      </c>
      <c r="O13" s="30">
        <v>2398</v>
      </c>
      <c r="P13" s="29">
        <f>3494-Q13-R13-S13</f>
        <v>902</v>
      </c>
      <c r="Q13" s="33">
        <v>441</v>
      </c>
      <c r="R13" s="33">
        <f>2151-S13</f>
        <v>-572</v>
      </c>
      <c r="S13" s="30">
        <v>2723</v>
      </c>
      <c r="T13" s="29">
        <f>-689-U13-V13-W13</f>
        <v>1574</v>
      </c>
      <c r="U13" s="33">
        <v>-796</v>
      </c>
      <c r="V13" s="33">
        <f>-1467-W13</f>
        <v>-1606</v>
      </c>
      <c r="W13" s="30">
        <v>139</v>
      </c>
      <c r="X13" s="29">
        <f>4988-Y13-Z13-AA13</f>
        <v>-3888</v>
      </c>
      <c r="Y13" s="33">
        <v>2878</v>
      </c>
      <c r="Z13" s="33">
        <f>5998-AA13</f>
        <v>4159</v>
      </c>
      <c r="AA13" s="30">
        <v>1839</v>
      </c>
      <c r="AB13" s="29">
        <f>1199-AC13-AD13-AE13</f>
        <v>531</v>
      </c>
      <c r="AC13" s="33">
        <v>268</v>
      </c>
      <c r="AD13" s="33">
        <f>400-AE13</f>
        <v>222</v>
      </c>
      <c r="AE13" s="30">
        <v>178</v>
      </c>
      <c r="AF13" s="29">
        <f>99-AI13-AH13-AG13</f>
        <v>87</v>
      </c>
      <c r="AG13" s="33">
        <v>46</v>
      </c>
      <c r="AH13" s="33">
        <f>-34-AI13</f>
        <v>-42</v>
      </c>
      <c r="AI13" s="30">
        <v>8</v>
      </c>
      <c r="AJ13" s="29">
        <f>-AK13-AL13</f>
        <v>859</v>
      </c>
      <c r="AK13" s="33">
        <v>-3</v>
      </c>
      <c r="AL13" s="33">
        <v>-856</v>
      </c>
      <c r="AM13" s="30"/>
      <c r="AN13" s="29"/>
      <c r="AO13" s="33">
        <v>0</v>
      </c>
      <c r="AP13" s="33">
        <v>0</v>
      </c>
      <c r="AQ13" s="30">
        <v>0</v>
      </c>
      <c r="AR13" s="42"/>
      <c r="AT13" s="42"/>
    </row>
    <row r="14" spans="2:46" s="43" customFormat="1" ht="14.5" outlineLevel="1">
      <c r="B14" s="27" t="s">
        <v>126</v>
      </c>
      <c r="C14" s="28">
        <v>-6951</v>
      </c>
      <c r="D14" s="33">
        <v>-4797</v>
      </c>
      <c r="E14" s="33">
        <v>-4271</v>
      </c>
      <c r="F14" s="33">
        <v>-4488</v>
      </c>
      <c r="G14" s="33">
        <v>-3772</v>
      </c>
      <c r="H14" s="29">
        <f>-12629-I14-J14-K14</f>
        <v>-6337</v>
      </c>
      <c r="I14" s="33">
        <v>-2650</v>
      </c>
      <c r="J14" s="33">
        <f>-3642-K14</f>
        <v>-2053</v>
      </c>
      <c r="K14" s="30">
        <v>-1589</v>
      </c>
      <c r="L14" s="29">
        <f>-9428-M14-N14-O14</f>
        <v>-2310</v>
      </c>
      <c r="M14" s="33">
        <v>-1175</v>
      </c>
      <c r="N14" s="33">
        <f>-5943-O14</f>
        <v>-3345</v>
      </c>
      <c r="O14" s="30">
        <v>-2598</v>
      </c>
      <c r="P14" s="29">
        <f>-5653-Q14-R14-S14</f>
        <v>-1487</v>
      </c>
      <c r="Q14" s="33">
        <v>-1497</v>
      </c>
      <c r="R14" s="33">
        <f>-2669-S14</f>
        <v>-1486</v>
      </c>
      <c r="S14" s="30">
        <v>-1183</v>
      </c>
      <c r="T14" s="29">
        <f>-2700-U14-V14-W14</f>
        <v>-1131</v>
      </c>
      <c r="U14" s="33">
        <v>-467</v>
      </c>
      <c r="V14" s="33">
        <f>-1102-W14</f>
        <v>-451</v>
      </c>
      <c r="W14" s="30">
        <v>-651</v>
      </c>
      <c r="X14" s="29">
        <f>-1580-Y14-Z14-AA14</f>
        <v>-494</v>
      </c>
      <c r="Y14" s="33">
        <v>-627</v>
      </c>
      <c r="Z14" s="33">
        <f>-459-AA14</f>
        <v>-340</v>
      </c>
      <c r="AA14" s="30">
        <v>-119</v>
      </c>
      <c r="AB14" s="29">
        <f>-300-AC14-AD14-AE14</f>
        <v>-150</v>
      </c>
      <c r="AC14" s="33">
        <v>-61</v>
      </c>
      <c r="AD14" s="33">
        <f>-89-AE14</f>
        <v>-18</v>
      </c>
      <c r="AE14" s="30">
        <v>-71</v>
      </c>
      <c r="AF14" s="29">
        <f>-3363-AG14-AH14-AI14</f>
        <v>-732</v>
      </c>
      <c r="AG14" s="33">
        <v>-1049</v>
      </c>
      <c r="AH14" s="33">
        <f>-1582-AI14</f>
        <v>-650</v>
      </c>
      <c r="AI14" s="30">
        <v>-932</v>
      </c>
      <c r="AJ14" s="29">
        <f>-3421-AK14-AL14-AM14</f>
        <v>-595</v>
      </c>
      <c r="AK14" s="33">
        <v>-1051</v>
      </c>
      <c r="AL14" s="33">
        <f>-1775-AM14</f>
        <v>-978</v>
      </c>
      <c r="AM14" s="30">
        <v>-797</v>
      </c>
      <c r="AN14" s="29">
        <f>-3531-AO14-AP14-AQ14</f>
        <v>-768</v>
      </c>
      <c r="AO14" s="33">
        <v>-663</v>
      </c>
      <c r="AP14" s="33">
        <v>-1213</v>
      </c>
      <c r="AQ14" s="30">
        <v>-887</v>
      </c>
      <c r="AR14" s="42"/>
      <c r="AT14" s="42"/>
    </row>
    <row r="15" spans="2:46" s="43" customFormat="1" ht="14.5" outlineLevel="1">
      <c r="B15" s="27" t="s">
        <v>127</v>
      </c>
      <c r="C15" s="28">
        <v>-18043</v>
      </c>
      <c r="D15" s="33">
        <v>-14195</v>
      </c>
      <c r="E15" s="33">
        <v>-13958</v>
      </c>
      <c r="F15" s="33">
        <v>-11693</v>
      </c>
      <c r="G15" s="33">
        <v>-11560</v>
      </c>
      <c r="H15" s="29">
        <f>-54623-I15-J15-K15</f>
        <v>-17519</v>
      </c>
      <c r="I15" s="33">
        <v>-11286</v>
      </c>
      <c r="J15" s="33">
        <f>-25818-K15</f>
        <v>-13288</v>
      </c>
      <c r="K15" s="30">
        <v>-12530</v>
      </c>
      <c r="L15" s="29">
        <f>-49764-M15-N15-O15</f>
        <v>-12908</v>
      </c>
      <c r="M15" s="33">
        <v>-13902</v>
      </c>
      <c r="N15" s="33">
        <f>-22954-O15</f>
        <v>-11203</v>
      </c>
      <c r="O15" s="30">
        <v>-11751</v>
      </c>
      <c r="P15" s="29">
        <f>-38460-Q15-R15-S15</f>
        <v>-10082</v>
      </c>
      <c r="Q15" s="33">
        <v>-10239</v>
      </c>
      <c r="R15" s="33">
        <f>-18139-S15</f>
        <v>-10140</v>
      </c>
      <c r="S15" s="30">
        <v>-7999</v>
      </c>
      <c r="T15" s="29">
        <f>-16279-U15-V15-W15</f>
        <v>-6612</v>
      </c>
      <c r="U15" s="33">
        <v>-4574</v>
      </c>
      <c r="V15" s="33">
        <f>-5093-W15</f>
        <v>-2633</v>
      </c>
      <c r="W15" s="30">
        <v>-2460</v>
      </c>
      <c r="X15" s="29">
        <f>-5520-Y15-Z15-AA15</f>
        <v>-1731</v>
      </c>
      <c r="Y15" s="33">
        <v>-1506</v>
      </c>
      <c r="Z15" s="33">
        <f>-2283-AA15</f>
        <v>-1634</v>
      </c>
      <c r="AA15" s="30">
        <v>-649</v>
      </c>
      <c r="AB15" s="29">
        <f>-638-AC15-AD15-AE15</f>
        <v>286</v>
      </c>
      <c r="AC15" s="33">
        <v>-344</v>
      </c>
      <c r="AD15" s="33">
        <f>-580-AE15</f>
        <v>-294</v>
      </c>
      <c r="AE15" s="30">
        <v>-286</v>
      </c>
      <c r="AF15" s="29">
        <f>-1292-AG15-AH15-AI15</f>
        <v>-259</v>
      </c>
      <c r="AG15" s="33">
        <v>-261</v>
      </c>
      <c r="AH15" s="33">
        <f>-772-AI15</f>
        <v>-282</v>
      </c>
      <c r="AI15" s="30">
        <v>-490</v>
      </c>
      <c r="AJ15" s="29">
        <f>-5700-AK15-AL15-AM15</f>
        <v>-1872</v>
      </c>
      <c r="AK15" s="33">
        <v>-869</v>
      </c>
      <c r="AL15" s="33">
        <f>-2959-AM15</f>
        <v>-1114</v>
      </c>
      <c r="AM15" s="30">
        <v>-1845</v>
      </c>
      <c r="AN15" s="29">
        <f>-6365-AO15-AP15-AQ15</f>
        <v>-2358</v>
      </c>
      <c r="AO15" s="33">
        <v>-1921</v>
      </c>
      <c r="AP15" s="33">
        <v>-1257</v>
      </c>
      <c r="AQ15" s="30">
        <v>-829</v>
      </c>
      <c r="AR15" s="42"/>
      <c r="AT15" s="42"/>
    </row>
    <row r="16" spans="2:46" s="26" customFormat="1">
      <c r="B16" s="19" t="s">
        <v>150</v>
      </c>
      <c r="C16" s="106">
        <v>20197</v>
      </c>
      <c r="D16" s="25">
        <f>SUM(D17:D18)</f>
        <v>21294</v>
      </c>
      <c r="E16" s="25">
        <f>SUM(E17:E18)</f>
        <v>21982</v>
      </c>
      <c r="F16" s="25">
        <f t="shared" ref="F16" si="18">SUM(F17:F18)</f>
        <v>16906</v>
      </c>
      <c r="G16" s="25">
        <f t="shared" ref="G16:AQ16" si="19">SUM(G17:G18)</f>
        <v>17807</v>
      </c>
      <c r="H16" s="21">
        <f t="shared" si="19"/>
        <v>16048</v>
      </c>
      <c r="I16" s="25">
        <f t="shared" si="19"/>
        <v>14113</v>
      </c>
      <c r="J16" s="25">
        <f t="shared" si="19"/>
        <v>15099</v>
      </c>
      <c r="K16" s="22">
        <f t="shared" si="19"/>
        <v>13686</v>
      </c>
      <c r="L16" s="21">
        <f t="shared" si="19"/>
        <v>12977</v>
      </c>
      <c r="M16" s="25">
        <f t="shared" si="19"/>
        <v>5267</v>
      </c>
      <c r="N16" s="25">
        <f t="shared" si="19"/>
        <v>5889</v>
      </c>
      <c r="O16" s="22">
        <f t="shared" si="19"/>
        <v>5946</v>
      </c>
      <c r="P16" s="21">
        <f t="shared" si="19"/>
        <v>5178</v>
      </c>
      <c r="Q16" s="25">
        <f t="shared" si="19"/>
        <v>2370</v>
      </c>
      <c r="R16" s="25">
        <f t="shared" si="19"/>
        <v>156</v>
      </c>
      <c r="S16" s="22">
        <f t="shared" si="19"/>
        <v>1</v>
      </c>
      <c r="T16" s="21">
        <f t="shared" si="19"/>
        <v>0</v>
      </c>
      <c r="U16" s="25">
        <f t="shared" si="19"/>
        <v>0</v>
      </c>
      <c r="V16" s="25">
        <f t="shared" si="19"/>
        <v>0</v>
      </c>
      <c r="W16" s="22">
        <f t="shared" si="19"/>
        <v>0</v>
      </c>
      <c r="X16" s="21">
        <f t="shared" si="19"/>
        <v>0</v>
      </c>
      <c r="Y16" s="25">
        <f t="shared" si="19"/>
        <v>0</v>
      </c>
      <c r="Z16" s="25">
        <f t="shared" si="19"/>
        <v>0</v>
      </c>
      <c r="AA16" s="22">
        <f t="shared" si="19"/>
        <v>0</v>
      </c>
      <c r="AB16" s="21">
        <f t="shared" si="19"/>
        <v>0</v>
      </c>
      <c r="AC16" s="25">
        <f t="shared" si="19"/>
        <v>0</v>
      </c>
      <c r="AD16" s="25">
        <f t="shared" si="19"/>
        <v>0</v>
      </c>
      <c r="AE16" s="22">
        <f t="shared" si="19"/>
        <v>0</v>
      </c>
      <c r="AF16" s="21">
        <f t="shared" si="19"/>
        <v>0</v>
      </c>
      <c r="AG16" s="25">
        <f t="shared" si="19"/>
        <v>0</v>
      </c>
      <c r="AH16" s="25">
        <f t="shared" si="19"/>
        <v>0</v>
      </c>
      <c r="AI16" s="22">
        <f t="shared" si="19"/>
        <v>0</v>
      </c>
      <c r="AJ16" s="21">
        <f t="shared" si="19"/>
        <v>0</v>
      </c>
      <c r="AK16" s="25">
        <f t="shared" si="19"/>
        <v>0</v>
      </c>
      <c r="AL16" s="25">
        <f t="shared" si="19"/>
        <v>0</v>
      </c>
      <c r="AM16" s="22">
        <f t="shared" si="19"/>
        <v>0</v>
      </c>
      <c r="AN16" s="21">
        <f t="shared" si="19"/>
        <v>0</v>
      </c>
      <c r="AO16" s="25">
        <f t="shared" si="19"/>
        <v>0</v>
      </c>
      <c r="AP16" s="25">
        <f t="shared" si="19"/>
        <v>0</v>
      </c>
      <c r="AQ16" s="22">
        <f t="shared" si="19"/>
        <v>0</v>
      </c>
      <c r="AR16" s="39"/>
      <c r="AT16" s="39"/>
    </row>
    <row r="17" spans="2:46" s="43" customFormat="1" ht="14.5" outlineLevel="1">
      <c r="B17" s="27" t="s">
        <v>128</v>
      </c>
      <c r="C17" s="107">
        <v>37786</v>
      </c>
      <c r="D17" s="86">
        <v>36838</v>
      </c>
      <c r="E17" s="33">
        <v>37605</v>
      </c>
      <c r="F17" s="33">
        <v>33342</v>
      </c>
      <c r="G17" s="33">
        <v>32344</v>
      </c>
      <c r="H17" s="29">
        <f>105568-I17-J17-K17</f>
        <v>30331</v>
      </c>
      <c r="I17" s="33">
        <v>27252</v>
      </c>
      <c r="J17" s="33">
        <v>25979</v>
      </c>
      <c r="K17" s="30">
        <v>22006</v>
      </c>
      <c r="L17" s="29">
        <f>34061-M17-N17-O17</f>
        <v>16959</v>
      </c>
      <c r="M17" s="33">
        <f>17102-N17-O17</f>
        <v>5267</v>
      </c>
      <c r="N17" s="33">
        <f>11835-O17</f>
        <v>5889</v>
      </c>
      <c r="O17" s="30">
        <v>5946</v>
      </c>
      <c r="P17" s="29">
        <v>5178</v>
      </c>
      <c r="Q17" s="33">
        <v>2370</v>
      </c>
      <c r="R17" s="33">
        <v>156</v>
      </c>
      <c r="S17" s="30">
        <v>1</v>
      </c>
      <c r="T17" s="29">
        <v>0</v>
      </c>
      <c r="U17" s="33">
        <v>0</v>
      </c>
      <c r="V17" s="33">
        <v>0</v>
      </c>
      <c r="W17" s="30">
        <v>0</v>
      </c>
      <c r="X17" s="29">
        <v>0</v>
      </c>
      <c r="Y17" s="33">
        <v>0</v>
      </c>
      <c r="Z17" s="33">
        <v>0</v>
      </c>
      <c r="AA17" s="30">
        <v>0</v>
      </c>
      <c r="AB17" s="29">
        <v>0</v>
      </c>
      <c r="AC17" s="33">
        <v>0</v>
      </c>
      <c r="AD17" s="33">
        <v>0</v>
      </c>
      <c r="AE17" s="30">
        <v>0</v>
      </c>
      <c r="AF17" s="29">
        <v>0</v>
      </c>
      <c r="AG17" s="33">
        <v>0</v>
      </c>
      <c r="AH17" s="33">
        <v>0</v>
      </c>
      <c r="AI17" s="30">
        <v>0</v>
      </c>
      <c r="AJ17" s="29">
        <v>0</v>
      </c>
      <c r="AK17" s="33">
        <v>0</v>
      </c>
      <c r="AL17" s="33">
        <v>0</v>
      </c>
      <c r="AM17" s="30">
        <v>0</v>
      </c>
      <c r="AN17" s="29">
        <v>0</v>
      </c>
      <c r="AO17" s="33">
        <v>0</v>
      </c>
      <c r="AP17" s="33">
        <v>0</v>
      </c>
      <c r="AQ17" s="30">
        <v>0</v>
      </c>
      <c r="AR17" s="42"/>
      <c r="AT17" s="42"/>
    </row>
    <row r="18" spans="2:46" s="43" customFormat="1" ht="14.5" outlineLevel="1">
      <c r="B18" s="27" t="s">
        <v>129</v>
      </c>
      <c r="C18" s="28">
        <v>-17589</v>
      </c>
      <c r="D18" s="33">
        <v>-15544</v>
      </c>
      <c r="E18" s="33">
        <v>-15623</v>
      </c>
      <c r="F18" s="33">
        <v>-16436</v>
      </c>
      <c r="G18" s="33">
        <v>-14537</v>
      </c>
      <c r="H18" s="29">
        <f>-46622-I18-J18-K18</f>
        <v>-14283</v>
      </c>
      <c r="I18" s="33">
        <v>-13139</v>
      </c>
      <c r="J18" s="33">
        <v>-10880</v>
      </c>
      <c r="K18" s="30">
        <v>-8320</v>
      </c>
      <c r="L18" s="29">
        <v>-3982</v>
      </c>
      <c r="M18" s="33">
        <v>0</v>
      </c>
      <c r="N18" s="33">
        <v>0</v>
      </c>
      <c r="O18" s="30">
        <v>0</v>
      </c>
      <c r="P18" s="29">
        <v>0</v>
      </c>
      <c r="Q18" s="33">
        <v>0</v>
      </c>
      <c r="R18" s="33">
        <v>0</v>
      </c>
      <c r="S18" s="30">
        <v>0</v>
      </c>
      <c r="T18" s="29">
        <v>0</v>
      </c>
      <c r="U18" s="33">
        <v>0</v>
      </c>
      <c r="V18" s="33">
        <v>0</v>
      </c>
      <c r="W18" s="30">
        <v>0</v>
      </c>
      <c r="X18" s="29">
        <v>0</v>
      </c>
      <c r="Y18" s="33">
        <v>0</v>
      </c>
      <c r="Z18" s="33">
        <v>0</v>
      </c>
      <c r="AA18" s="30">
        <v>0</v>
      </c>
      <c r="AB18" s="29">
        <v>0</v>
      </c>
      <c r="AC18" s="33">
        <v>0</v>
      </c>
      <c r="AD18" s="33">
        <v>0</v>
      </c>
      <c r="AE18" s="30">
        <v>0</v>
      </c>
      <c r="AF18" s="29">
        <v>0</v>
      </c>
      <c r="AG18" s="33">
        <v>0</v>
      </c>
      <c r="AH18" s="33">
        <v>0</v>
      </c>
      <c r="AI18" s="30">
        <v>0</v>
      </c>
      <c r="AJ18" s="29">
        <v>0</v>
      </c>
      <c r="AK18" s="33">
        <v>0</v>
      </c>
      <c r="AL18" s="33">
        <v>0</v>
      </c>
      <c r="AM18" s="30">
        <v>0</v>
      </c>
      <c r="AN18" s="29">
        <v>0</v>
      </c>
      <c r="AO18" s="33">
        <v>0</v>
      </c>
      <c r="AP18" s="33">
        <v>0</v>
      </c>
      <c r="AQ18" s="30">
        <v>0</v>
      </c>
      <c r="AR18" s="42"/>
      <c r="AT18" s="42"/>
    </row>
    <row r="19" spans="2:46" s="26" customFormat="1">
      <c r="B19" s="19" t="s">
        <v>1</v>
      </c>
      <c r="C19" s="106">
        <v>7917</v>
      </c>
      <c r="D19" s="103">
        <v>6023</v>
      </c>
      <c r="E19" s="25">
        <v>5014</v>
      </c>
      <c r="F19" s="25">
        <v>4634</v>
      </c>
      <c r="G19" s="25">
        <v>4616</v>
      </c>
      <c r="H19" s="21">
        <v>3604</v>
      </c>
      <c r="I19" s="25">
        <v>2773</v>
      </c>
      <c r="J19" s="25">
        <v>3371</v>
      </c>
      <c r="K19" s="22">
        <v>2543</v>
      </c>
      <c r="L19" s="21">
        <v>2834</v>
      </c>
      <c r="M19" s="25">
        <v>2772</v>
      </c>
      <c r="N19" s="25">
        <v>3074</v>
      </c>
      <c r="O19" s="22">
        <v>3050</v>
      </c>
      <c r="P19" s="21">
        <v>2220</v>
      </c>
      <c r="Q19" s="25">
        <v>1719</v>
      </c>
      <c r="R19" s="25">
        <v>1413</v>
      </c>
      <c r="S19" s="22">
        <v>1668</v>
      </c>
      <c r="T19" s="21">
        <v>1254</v>
      </c>
      <c r="U19" s="25">
        <v>1269</v>
      </c>
      <c r="V19" s="25">
        <v>1215</v>
      </c>
      <c r="W19" s="22">
        <v>1296</v>
      </c>
      <c r="X19" s="21">
        <v>1181</v>
      </c>
      <c r="Y19" s="25">
        <v>977</v>
      </c>
      <c r="Z19" s="25">
        <v>1097</v>
      </c>
      <c r="AA19" s="22">
        <v>1584</v>
      </c>
      <c r="AB19" s="21">
        <v>1167</v>
      </c>
      <c r="AC19" s="25">
        <v>1130</v>
      </c>
      <c r="AD19" s="25">
        <v>1701</v>
      </c>
      <c r="AE19" s="22">
        <v>1631</v>
      </c>
      <c r="AF19" s="21">
        <v>1537</v>
      </c>
      <c r="AG19" s="25">
        <v>1573</v>
      </c>
      <c r="AH19" s="25">
        <v>2366</v>
      </c>
      <c r="AI19" s="22">
        <v>1175</v>
      </c>
      <c r="AJ19" s="21">
        <v>1172</v>
      </c>
      <c r="AK19" s="25">
        <v>1038</v>
      </c>
      <c r="AL19" s="25">
        <v>1195</v>
      </c>
      <c r="AM19" s="22">
        <v>1052</v>
      </c>
      <c r="AN19" s="21">
        <v>1297</v>
      </c>
      <c r="AO19" s="25">
        <v>1289</v>
      </c>
      <c r="AP19" s="25">
        <v>1404</v>
      </c>
      <c r="AQ19" s="22">
        <v>1294</v>
      </c>
      <c r="AR19" s="39"/>
      <c r="AT19" s="39"/>
    </row>
    <row r="20" spans="2:46" s="26" customFormat="1">
      <c r="B20" s="19" t="s">
        <v>2</v>
      </c>
      <c r="C20" s="97">
        <v>156</v>
      </c>
      <c r="D20" s="85">
        <v>2885</v>
      </c>
      <c r="E20" s="25">
        <v>43</v>
      </c>
      <c r="F20" s="25">
        <v>245</v>
      </c>
      <c r="G20" s="25">
        <v>25</v>
      </c>
      <c r="H20" s="21">
        <v>1260</v>
      </c>
      <c r="I20" s="25">
        <v>195</v>
      </c>
      <c r="J20" s="25">
        <v>48</v>
      </c>
      <c r="K20" s="22">
        <v>121</v>
      </c>
      <c r="L20" s="21">
        <v>2034</v>
      </c>
      <c r="M20" s="25">
        <v>6</v>
      </c>
      <c r="N20" s="25">
        <v>34</v>
      </c>
      <c r="O20" s="22">
        <v>11</v>
      </c>
      <c r="P20" s="21">
        <v>50</v>
      </c>
      <c r="Q20" s="25">
        <v>2</v>
      </c>
      <c r="R20" s="25">
        <v>6</v>
      </c>
      <c r="S20" s="22">
        <v>11</v>
      </c>
      <c r="T20" s="21">
        <v>1764</v>
      </c>
      <c r="U20" s="25">
        <v>29</v>
      </c>
      <c r="V20" s="25">
        <v>310</v>
      </c>
      <c r="W20" s="22">
        <v>5</v>
      </c>
      <c r="X20" s="21">
        <v>39</v>
      </c>
      <c r="Y20" s="25">
        <v>5</v>
      </c>
      <c r="Z20" s="25">
        <v>8</v>
      </c>
      <c r="AA20" s="22">
        <v>71</v>
      </c>
      <c r="AB20" s="21">
        <v>527</v>
      </c>
      <c r="AC20" s="25">
        <v>30</v>
      </c>
      <c r="AD20" s="25">
        <v>6</v>
      </c>
      <c r="AE20" s="22">
        <v>6</v>
      </c>
      <c r="AF20" s="21">
        <v>106</v>
      </c>
      <c r="AG20" s="25">
        <v>-9</v>
      </c>
      <c r="AH20" s="25">
        <v>69</v>
      </c>
      <c r="AI20" s="22">
        <v>11</v>
      </c>
      <c r="AJ20" s="21">
        <v>56</v>
      </c>
      <c r="AK20" s="25">
        <v>29</v>
      </c>
      <c r="AL20" s="25">
        <v>21</v>
      </c>
      <c r="AM20" s="22">
        <v>16</v>
      </c>
      <c r="AN20" s="21">
        <v>34</v>
      </c>
      <c r="AO20" s="25">
        <v>19</v>
      </c>
      <c r="AP20" s="25">
        <v>17</v>
      </c>
      <c r="AQ20" s="22">
        <v>6</v>
      </c>
      <c r="AR20" s="39"/>
      <c r="AT20" s="39"/>
    </row>
    <row r="21" spans="2:46" s="26" customFormat="1">
      <c r="B21" s="34" t="s">
        <v>3</v>
      </c>
      <c r="C21" s="108">
        <v>1094018</v>
      </c>
      <c r="D21" s="37">
        <f>SUM(D6,D16,D19:D20)</f>
        <v>609344</v>
      </c>
      <c r="E21" s="37">
        <f>SUM(E6,E16,E19:E20)</f>
        <v>375821</v>
      </c>
      <c r="F21" s="37">
        <f>SUM(F6,F16,F19:F20)</f>
        <v>580597</v>
      </c>
      <c r="G21" s="37">
        <f>SUM(G6,G16,G19:G20)</f>
        <v>580294</v>
      </c>
      <c r="H21" s="36">
        <f t="shared" ref="H21:K21" si="20">SUM(H6,H16,H19:H20)</f>
        <v>465416</v>
      </c>
      <c r="I21" s="37">
        <f t="shared" si="20"/>
        <v>470234</v>
      </c>
      <c r="J21" s="37">
        <f t="shared" si="20"/>
        <v>381838</v>
      </c>
      <c r="K21" s="38">
        <f t="shared" si="20"/>
        <v>555948</v>
      </c>
      <c r="L21" s="36">
        <f t="shared" ref="L21" si="21">SUM(L6,L16,L19:L20)</f>
        <v>506710</v>
      </c>
      <c r="M21" s="37">
        <f t="shared" ref="M21" si="22">SUM(M6,M16,M19:M20)</f>
        <v>280988</v>
      </c>
      <c r="N21" s="37">
        <f t="shared" ref="N21" si="23">SUM(N6,N16,N19:N20)</f>
        <v>293134</v>
      </c>
      <c r="O21" s="38">
        <f t="shared" ref="O21" si="24">SUM(O6,O16,O19:O20)</f>
        <v>537553</v>
      </c>
      <c r="P21" s="36">
        <f t="shared" ref="P21" si="25">SUM(P6,P16,P19:P20)</f>
        <v>221924</v>
      </c>
      <c r="Q21" s="37">
        <f t="shared" ref="Q21" si="26">SUM(Q6,Q16,Q19:Q20)</f>
        <v>393659</v>
      </c>
      <c r="R21" s="37">
        <f t="shared" ref="R21" si="27">SUM(R6,R16,R19:R20)</f>
        <v>396566</v>
      </c>
      <c r="S21" s="38">
        <f t="shared" ref="S21" si="28">SUM(S6,S16,S19:S20)</f>
        <v>439805</v>
      </c>
      <c r="T21" s="36">
        <f t="shared" ref="T21" si="29">SUM(T6,T16,T19:T20)</f>
        <v>183567</v>
      </c>
      <c r="U21" s="37">
        <f t="shared" ref="U21" si="30">SUM(U6,U16,U19:U20)</f>
        <v>200029</v>
      </c>
      <c r="V21" s="37">
        <f t="shared" ref="V21" si="31">SUM(V6,V16,V19:V20)</f>
        <v>55302</v>
      </c>
      <c r="W21" s="38">
        <f t="shared" ref="W21" si="32">SUM(W6,W16,W19:W20)</f>
        <v>186697</v>
      </c>
      <c r="X21" s="36">
        <f t="shared" ref="X21" si="33">SUM(X6,X16,X19:X20)</f>
        <v>139962</v>
      </c>
      <c r="Y21" s="37">
        <f>SUM(Y6,Y16,Y19:Y20)</f>
        <v>139630</v>
      </c>
      <c r="Z21" s="37">
        <f t="shared" ref="Z21" si="34">SUM(Z6,Z16,Z19:Z20)</f>
        <v>211494</v>
      </c>
      <c r="AA21" s="38">
        <f t="shared" ref="AA21" si="35">SUM(AA6,AA16,AA19:AA20)</f>
        <v>306664</v>
      </c>
      <c r="AB21" s="36">
        <f t="shared" ref="AB21" si="36">SUM(AB6,AB16,AB19:AB20)</f>
        <v>89571</v>
      </c>
      <c r="AC21" s="37">
        <f t="shared" ref="AC21" si="37">SUM(AC6,AC16,AC19:AC20)</f>
        <v>60952</v>
      </c>
      <c r="AD21" s="37">
        <f t="shared" ref="AD21" si="38">SUM(AD6,AD16,AD19:AD20)</f>
        <v>47891</v>
      </c>
      <c r="AE21" s="38">
        <f t="shared" ref="AE21" si="39">SUM(AE6,AE16,AE19:AE20)</f>
        <v>40890</v>
      </c>
      <c r="AF21" s="36">
        <f t="shared" ref="AF21" si="40">SUM(AF6,AF16,AF19:AF20)</f>
        <v>42786</v>
      </c>
      <c r="AG21" s="37">
        <f t="shared" ref="AG21" si="41">SUM(AG6,AG16,AG19:AG20)</f>
        <v>47578</v>
      </c>
      <c r="AH21" s="37">
        <f t="shared" ref="AH21" si="42">SUM(AH6,AH16,AH19:AH20)</f>
        <v>84200</v>
      </c>
      <c r="AI21" s="38">
        <f t="shared" ref="AI21" si="43">SUM(AI6,AI16,AI19:AI20)</f>
        <v>113737</v>
      </c>
      <c r="AJ21" s="36">
        <f t="shared" ref="AJ21" si="44">SUM(AJ6,AJ16,AJ19:AJ20)</f>
        <v>75460</v>
      </c>
      <c r="AK21" s="37">
        <f t="shared" ref="AK21" si="45">SUM(AK6,AK16,AK19:AK20)</f>
        <v>73063</v>
      </c>
      <c r="AL21" s="37">
        <f t="shared" ref="AL21" si="46">SUM(AL6,AL16,AL19:AL20)</f>
        <v>66526</v>
      </c>
      <c r="AM21" s="38">
        <f t="shared" ref="AM21" si="47">SUM(AM6,AM16,AM19:AM20)</f>
        <v>58718</v>
      </c>
      <c r="AN21" s="36">
        <f t="shared" ref="AN21" si="48">SUM(AN6,AN16,AN19:AN20)</f>
        <v>93959</v>
      </c>
      <c r="AO21" s="37">
        <f t="shared" ref="AO21" si="49">SUM(AO6,AO16,AO19:AO20)</f>
        <v>42802</v>
      </c>
      <c r="AP21" s="37">
        <f t="shared" ref="AP21" si="50">SUM(AP6,AP16,AP19:AP20)</f>
        <v>31050</v>
      </c>
      <c r="AQ21" s="38">
        <f t="shared" ref="AQ21" si="51">SUM(AQ6,AQ16,AQ19:AQ20)</f>
        <v>82765</v>
      </c>
      <c r="AR21" s="39"/>
    </row>
    <row r="22" spans="2:46" s="26" customFormat="1" ht="7.5" customHeight="1">
      <c r="B22" s="19"/>
      <c r="C22" s="97"/>
      <c r="D22" s="19"/>
      <c r="E22" s="25"/>
      <c r="F22" s="25"/>
      <c r="G22" s="25"/>
      <c r="H22" s="21"/>
      <c r="I22" s="25"/>
      <c r="J22" s="25"/>
      <c r="K22" s="22"/>
      <c r="L22" s="21"/>
      <c r="M22" s="25"/>
      <c r="N22" s="25"/>
      <c r="O22" s="22"/>
      <c r="P22" s="25"/>
      <c r="Q22" s="25"/>
      <c r="R22" s="25"/>
      <c r="S22" s="25"/>
      <c r="T22" s="21"/>
      <c r="U22" s="25"/>
      <c r="V22" s="25"/>
      <c r="W22" s="22"/>
      <c r="X22" s="21"/>
      <c r="Y22" s="25"/>
      <c r="Z22" s="25"/>
      <c r="AA22" s="22"/>
      <c r="AB22" s="21"/>
      <c r="AC22" s="25"/>
      <c r="AD22" s="25"/>
      <c r="AE22" s="25"/>
      <c r="AF22" s="44"/>
      <c r="AG22" s="19"/>
      <c r="AH22" s="19"/>
      <c r="AI22" s="23"/>
      <c r="AJ22" s="24"/>
      <c r="AK22" s="19"/>
      <c r="AL22" s="19"/>
      <c r="AM22" s="45"/>
      <c r="AN22" s="21"/>
      <c r="AO22" s="25"/>
      <c r="AP22" s="25"/>
      <c r="AQ22" s="22"/>
      <c r="AR22" s="39"/>
    </row>
    <row r="23" spans="2:46" s="26" customFormat="1">
      <c r="B23" s="19" t="s">
        <v>5</v>
      </c>
      <c r="C23" s="20">
        <v>-235429</v>
      </c>
      <c r="D23" s="25">
        <v>-179047</v>
      </c>
      <c r="E23" s="25">
        <v>-141495</v>
      </c>
      <c r="F23" s="25">
        <v>-123322</v>
      </c>
      <c r="G23" s="25">
        <v>-141034</v>
      </c>
      <c r="H23" s="21">
        <v>-116855</v>
      </c>
      <c r="I23" s="25">
        <v>-71613</v>
      </c>
      <c r="J23" s="25">
        <v>-75234</v>
      </c>
      <c r="K23" s="22">
        <v>-81106</v>
      </c>
      <c r="L23" s="21">
        <v>-69081</v>
      </c>
      <c r="M23" s="25">
        <v>-58585</v>
      </c>
      <c r="N23" s="25">
        <v>-54823</v>
      </c>
      <c r="O23" s="22">
        <v>-81435</v>
      </c>
      <c r="P23" s="25">
        <v>-68478</v>
      </c>
      <c r="Q23" s="25">
        <v>-48579</v>
      </c>
      <c r="R23" s="25">
        <v>-54662</v>
      </c>
      <c r="S23" s="25">
        <v>-50650</v>
      </c>
      <c r="T23" s="21">
        <v>-37201</v>
      </c>
      <c r="U23" s="25">
        <v>-24772</v>
      </c>
      <c r="V23" s="25">
        <v>-25078</v>
      </c>
      <c r="W23" s="22">
        <v>-33050</v>
      </c>
      <c r="X23" s="21">
        <v>-30861</v>
      </c>
      <c r="Y23" s="25">
        <v>-17870</v>
      </c>
      <c r="Z23" s="25">
        <v>-22260</v>
      </c>
      <c r="AA23" s="22">
        <v>-16740</v>
      </c>
      <c r="AB23" s="21">
        <v>-10222</v>
      </c>
      <c r="AC23" s="25">
        <v>-8735</v>
      </c>
      <c r="AD23" s="25">
        <v>-9581</v>
      </c>
      <c r="AE23" s="25">
        <v>-9178</v>
      </c>
      <c r="AF23" s="21">
        <v>-7878</v>
      </c>
      <c r="AG23" s="25">
        <v>-8669</v>
      </c>
      <c r="AH23" s="25">
        <v>-8976</v>
      </c>
      <c r="AI23" s="23">
        <v>-7799</v>
      </c>
      <c r="AJ23" s="24">
        <v>-5558</v>
      </c>
      <c r="AK23" s="25">
        <v>-5563</v>
      </c>
      <c r="AL23" s="25">
        <v>-6545</v>
      </c>
      <c r="AM23" s="22">
        <v>-7175</v>
      </c>
      <c r="AN23" s="21">
        <v>-8997</v>
      </c>
      <c r="AO23" s="25">
        <v>-8041</v>
      </c>
      <c r="AP23" s="25">
        <v>-24310</v>
      </c>
      <c r="AQ23" s="22">
        <v>-7990</v>
      </c>
      <c r="AR23" s="39"/>
      <c r="AT23" s="39"/>
    </row>
    <row r="24" spans="2:46" s="26" customFormat="1">
      <c r="B24" s="19" t="s">
        <v>4</v>
      </c>
      <c r="C24" s="20">
        <v>-122057</v>
      </c>
      <c r="D24" s="25">
        <v>-115162</v>
      </c>
      <c r="E24" s="25">
        <v>-105157</v>
      </c>
      <c r="F24" s="25">
        <v>-97657</v>
      </c>
      <c r="G24" s="25">
        <v>-95043</v>
      </c>
      <c r="H24" s="21">
        <v>-84277</v>
      </c>
      <c r="I24" s="25">
        <v>-79018</v>
      </c>
      <c r="J24" s="25">
        <v>-75434</v>
      </c>
      <c r="K24" s="22">
        <v>-72845</v>
      </c>
      <c r="L24" s="21">
        <v>-70593</v>
      </c>
      <c r="M24" s="25">
        <v>-63767</v>
      </c>
      <c r="N24" s="25">
        <v>-61413</v>
      </c>
      <c r="O24" s="22">
        <v>-63367</v>
      </c>
      <c r="P24" s="25">
        <v>-50013</v>
      </c>
      <c r="Q24" s="25">
        <v>-49036</v>
      </c>
      <c r="R24" s="25">
        <v>-46486</v>
      </c>
      <c r="S24" s="25">
        <v>-46492</v>
      </c>
      <c r="T24" s="21">
        <v>-35404</v>
      </c>
      <c r="U24" s="25">
        <v>-36613</v>
      </c>
      <c r="V24" s="25">
        <v>-28353</v>
      </c>
      <c r="W24" s="22">
        <v>-30892</v>
      </c>
      <c r="X24" s="21">
        <v>-28070</v>
      </c>
      <c r="Y24" s="25">
        <v>-25385</v>
      </c>
      <c r="Z24" s="25">
        <v>-26904</v>
      </c>
      <c r="AA24" s="22">
        <v>-38782</v>
      </c>
      <c r="AB24" s="21">
        <v>-24126</v>
      </c>
      <c r="AC24" s="25">
        <v>-21368</v>
      </c>
      <c r="AD24" s="25">
        <v>-20793</v>
      </c>
      <c r="AE24" s="25">
        <v>-19737</v>
      </c>
      <c r="AF24" s="21">
        <v>-19681</v>
      </c>
      <c r="AG24" s="25">
        <v>-19681</v>
      </c>
      <c r="AH24" s="25">
        <v>-19664</v>
      </c>
      <c r="AI24" s="23">
        <v>-19452</v>
      </c>
      <c r="AJ24" s="24">
        <v>-19293</v>
      </c>
      <c r="AK24" s="25">
        <v>-17590</v>
      </c>
      <c r="AL24" s="25">
        <v>-17842</v>
      </c>
      <c r="AM24" s="22">
        <v>-18425</v>
      </c>
      <c r="AN24" s="21">
        <v>-17156</v>
      </c>
      <c r="AO24" s="25">
        <v>-16174</v>
      </c>
      <c r="AP24" s="25">
        <v>-16259</v>
      </c>
      <c r="AQ24" s="22">
        <v>-22275</v>
      </c>
      <c r="AR24" s="39"/>
      <c r="AT24" s="39"/>
    </row>
    <row r="25" spans="2:46" s="26" customFormat="1">
      <c r="B25" s="19" t="s">
        <v>10</v>
      </c>
      <c r="C25" s="20">
        <v>-27816</v>
      </c>
      <c r="D25" s="25">
        <v>-24843</v>
      </c>
      <c r="E25" s="25">
        <v>-25306</v>
      </c>
      <c r="F25" s="25">
        <v>-23432</v>
      </c>
      <c r="G25" s="25">
        <v>-33834</v>
      </c>
      <c r="H25" s="21">
        <v>-28647</v>
      </c>
      <c r="I25" s="25">
        <v>-24722</v>
      </c>
      <c r="J25" s="25">
        <v>-22596</v>
      </c>
      <c r="K25" s="22">
        <v>-21324</v>
      </c>
      <c r="L25" s="21">
        <v>-18255</v>
      </c>
      <c r="M25" s="25">
        <v>-14576</v>
      </c>
      <c r="N25" s="25">
        <v>-13906</v>
      </c>
      <c r="O25" s="22">
        <v>-15079</v>
      </c>
      <c r="P25" s="25">
        <v>-13780</v>
      </c>
      <c r="Q25" s="25">
        <v>-12995</v>
      </c>
      <c r="R25" s="25">
        <v>-14323</v>
      </c>
      <c r="S25" s="25">
        <v>-13267</v>
      </c>
      <c r="T25" s="21">
        <f>-9776</f>
        <v>-9776</v>
      </c>
      <c r="U25" s="25">
        <v>-8620</v>
      </c>
      <c r="V25" s="25">
        <v>-8080</v>
      </c>
      <c r="W25" s="22">
        <v>-9711</v>
      </c>
      <c r="X25" s="21">
        <v>-6535</v>
      </c>
      <c r="Y25" s="25">
        <v>-5480</v>
      </c>
      <c r="Z25" s="25">
        <v>-5984</v>
      </c>
      <c r="AA25" s="22">
        <v>-4540</v>
      </c>
      <c r="AB25" s="21">
        <v>-2282</v>
      </c>
      <c r="AC25" s="25">
        <v>-2143</v>
      </c>
      <c r="AD25" s="25">
        <v>-1872</v>
      </c>
      <c r="AE25" s="25">
        <v>-2032</v>
      </c>
      <c r="AF25" s="21">
        <v>-1984</v>
      </c>
      <c r="AG25" s="25">
        <v>-1609</v>
      </c>
      <c r="AH25" s="25">
        <v>-1699</v>
      </c>
      <c r="AI25" s="23">
        <v>-2335</v>
      </c>
      <c r="AJ25" s="24">
        <v>-2147</v>
      </c>
      <c r="AK25" s="25">
        <v>-1196</v>
      </c>
      <c r="AL25" s="25">
        <v>-1122</v>
      </c>
      <c r="AM25" s="22">
        <v>-1499</v>
      </c>
      <c r="AN25" s="21">
        <v>-939</v>
      </c>
      <c r="AO25" s="25">
        <v>-932</v>
      </c>
      <c r="AP25" s="25">
        <v>-1202</v>
      </c>
      <c r="AQ25" s="22">
        <v>-1109</v>
      </c>
      <c r="AR25" s="39"/>
      <c r="AT25" s="39"/>
    </row>
    <row r="26" spans="2:46" s="26" customFormat="1">
      <c r="B26" s="19" t="s">
        <v>6</v>
      </c>
      <c r="C26" s="20">
        <v>-32563</v>
      </c>
      <c r="D26" s="25">
        <v>-38881</v>
      </c>
      <c r="E26" s="25">
        <v>-31958</v>
      </c>
      <c r="F26" s="25">
        <v>-32456</v>
      </c>
      <c r="G26" s="25">
        <v>-29551</v>
      </c>
      <c r="H26" s="21">
        <v>-23048</v>
      </c>
      <c r="I26" s="25">
        <v>-20581</v>
      </c>
      <c r="J26" s="25">
        <v>-18636</v>
      </c>
      <c r="K26" s="22">
        <v>-16961</v>
      </c>
      <c r="L26" s="21">
        <v>-18645</v>
      </c>
      <c r="M26" s="25">
        <v>-15489</v>
      </c>
      <c r="N26" s="25">
        <v>-15945</v>
      </c>
      <c r="O26" s="22">
        <v>-14062</v>
      </c>
      <c r="P26" s="25">
        <v>-14865</v>
      </c>
      <c r="Q26" s="25">
        <v>-12737</v>
      </c>
      <c r="R26" s="25">
        <v>-10992</v>
      </c>
      <c r="S26" s="25">
        <v>-11373</v>
      </c>
      <c r="T26" s="21">
        <v>-11300</v>
      </c>
      <c r="U26" s="25">
        <v>-8762</v>
      </c>
      <c r="V26" s="25">
        <v>-9644</v>
      </c>
      <c r="W26" s="22">
        <v>-8728</v>
      </c>
      <c r="X26" s="21">
        <v>-9166</v>
      </c>
      <c r="Y26" s="25">
        <v>-7045</v>
      </c>
      <c r="Z26" s="25">
        <v>-5465</v>
      </c>
      <c r="AA26" s="22">
        <v>-7767</v>
      </c>
      <c r="AB26" s="21">
        <v>-7540</v>
      </c>
      <c r="AC26" s="25">
        <v>-5737</v>
      </c>
      <c r="AD26" s="25">
        <v>-5546</v>
      </c>
      <c r="AE26" s="25">
        <v>-5815</v>
      </c>
      <c r="AF26" s="21">
        <v>-6575</v>
      </c>
      <c r="AG26" s="25">
        <v>-5605</v>
      </c>
      <c r="AH26" s="25">
        <v>-5891</v>
      </c>
      <c r="AI26" s="23">
        <v>-6838</v>
      </c>
      <c r="AJ26" s="24">
        <v>-6514</v>
      </c>
      <c r="AK26" s="25">
        <v>-5304</v>
      </c>
      <c r="AL26" s="25">
        <v>-5774</v>
      </c>
      <c r="AM26" s="22">
        <v>-4351</v>
      </c>
      <c r="AN26" s="21">
        <v>-5509</v>
      </c>
      <c r="AO26" s="25">
        <v>-4295</v>
      </c>
      <c r="AP26" s="25">
        <v>-6856</v>
      </c>
      <c r="AQ26" s="22">
        <v>-3960</v>
      </c>
      <c r="AR26" s="39"/>
      <c r="AT26" s="39"/>
    </row>
    <row r="27" spans="2:46" s="26" customFormat="1">
      <c r="B27" s="19" t="s">
        <v>8</v>
      </c>
      <c r="C27" s="20">
        <v>-6884</v>
      </c>
      <c r="D27" s="25">
        <v>-7009</v>
      </c>
      <c r="E27" s="25">
        <v>-6552</v>
      </c>
      <c r="F27" s="25">
        <v>-5978</v>
      </c>
      <c r="G27" s="25">
        <v>-5866</v>
      </c>
      <c r="H27" s="21">
        <v>-5123</v>
      </c>
      <c r="I27" s="25">
        <v>-5066</v>
      </c>
      <c r="J27" s="25">
        <v>-4968</v>
      </c>
      <c r="K27" s="22">
        <v>-4748</v>
      </c>
      <c r="L27" s="21">
        <v>-5271</v>
      </c>
      <c r="M27" s="25">
        <v>-4196</v>
      </c>
      <c r="N27" s="25">
        <v>-3984</v>
      </c>
      <c r="O27" s="22">
        <v>-3746</v>
      </c>
      <c r="P27" s="25">
        <v>-3262</v>
      </c>
      <c r="Q27" s="25">
        <v>-3080</v>
      </c>
      <c r="R27" s="25">
        <v>-2788</v>
      </c>
      <c r="S27" s="25">
        <v>-2867</v>
      </c>
      <c r="T27" s="21">
        <v>-2324</v>
      </c>
      <c r="U27" s="25">
        <v>-2284</v>
      </c>
      <c r="V27" s="25">
        <v>-2361</v>
      </c>
      <c r="W27" s="22">
        <v>-1952</v>
      </c>
      <c r="X27" s="21">
        <v>-2106</v>
      </c>
      <c r="Y27" s="25">
        <v>-1832</v>
      </c>
      <c r="Z27" s="25">
        <v>-1954</v>
      </c>
      <c r="AA27" s="22">
        <v>-1861</v>
      </c>
      <c r="AB27" s="21">
        <v>-1720</v>
      </c>
      <c r="AC27" s="25">
        <v>-1795</v>
      </c>
      <c r="AD27" s="25">
        <v>-1450</v>
      </c>
      <c r="AE27" s="25">
        <v>-1788</v>
      </c>
      <c r="AF27" s="21">
        <v>-794</v>
      </c>
      <c r="AG27" s="25">
        <v>-883</v>
      </c>
      <c r="AH27" s="25">
        <v>-775</v>
      </c>
      <c r="AI27" s="23">
        <v>-1479</v>
      </c>
      <c r="AJ27" s="24">
        <v>-1482</v>
      </c>
      <c r="AK27" s="25">
        <v>-1551</v>
      </c>
      <c r="AL27" s="25">
        <v>-1691</v>
      </c>
      <c r="AM27" s="22">
        <v>-1330</v>
      </c>
      <c r="AN27" s="21">
        <v>-1319</v>
      </c>
      <c r="AO27" s="25">
        <v>-1327</v>
      </c>
      <c r="AP27" s="25">
        <v>-1388</v>
      </c>
      <c r="AQ27" s="22">
        <v>-1389</v>
      </c>
      <c r="AR27" s="39"/>
      <c r="AT27" s="39"/>
    </row>
    <row r="28" spans="2:46" s="26" customFormat="1">
      <c r="B28" s="19" t="s">
        <v>9</v>
      </c>
      <c r="C28" s="20">
        <v>-5534</v>
      </c>
      <c r="D28" s="25">
        <v>-4559</v>
      </c>
      <c r="E28" s="25">
        <v>-4775</v>
      </c>
      <c r="F28" s="25">
        <v>-2812</v>
      </c>
      <c r="G28" s="25">
        <v>-3809</v>
      </c>
      <c r="H28" s="21">
        <v>-2770</v>
      </c>
      <c r="I28" s="25">
        <v>-1669</v>
      </c>
      <c r="J28" s="25">
        <v>-4829</v>
      </c>
      <c r="K28" s="22">
        <v>-3841</v>
      </c>
      <c r="L28" s="21">
        <v>-876</v>
      </c>
      <c r="M28" s="25">
        <v>-2947</v>
      </c>
      <c r="N28" s="25">
        <v>-2885</v>
      </c>
      <c r="O28" s="22">
        <v>-3004</v>
      </c>
      <c r="P28" s="25">
        <v>-969</v>
      </c>
      <c r="Q28" s="25">
        <v>-2899</v>
      </c>
      <c r="R28" s="25">
        <v>-3214</v>
      </c>
      <c r="S28" s="25">
        <v>-1532</v>
      </c>
      <c r="T28" s="21">
        <v>-1315</v>
      </c>
      <c r="U28" s="25">
        <v>-1595</v>
      </c>
      <c r="V28" s="25">
        <v>-1181</v>
      </c>
      <c r="W28" s="22">
        <v>-1282</v>
      </c>
      <c r="X28" s="21">
        <v>-1305</v>
      </c>
      <c r="Y28" s="25">
        <v>-1026</v>
      </c>
      <c r="Z28" s="25">
        <v>-723</v>
      </c>
      <c r="AA28" s="22">
        <v>-669</v>
      </c>
      <c r="AB28" s="21">
        <v>-869</v>
      </c>
      <c r="AC28" s="25">
        <v>-551</v>
      </c>
      <c r="AD28" s="25">
        <v>-822</v>
      </c>
      <c r="AE28" s="25">
        <v>-708</v>
      </c>
      <c r="AF28" s="21">
        <v>-505</v>
      </c>
      <c r="AG28" s="25">
        <v>-912</v>
      </c>
      <c r="AH28" s="25">
        <v>-556</v>
      </c>
      <c r="AI28" s="23">
        <v>-367</v>
      </c>
      <c r="AJ28" s="24">
        <v>-350</v>
      </c>
      <c r="AK28" s="25">
        <v>-363</v>
      </c>
      <c r="AL28" s="25">
        <v>-327</v>
      </c>
      <c r="AM28" s="22">
        <v>-1019</v>
      </c>
      <c r="AN28" s="21">
        <v>-689</v>
      </c>
      <c r="AO28" s="25">
        <v>-1018</v>
      </c>
      <c r="AP28" s="25">
        <v>-577</v>
      </c>
      <c r="AQ28" s="22">
        <v>-313</v>
      </c>
      <c r="AR28" s="39"/>
      <c r="AT28" s="39"/>
    </row>
    <row r="29" spans="2:46" s="26" customFormat="1">
      <c r="B29" s="19" t="s">
        <v>7</v>
      </c>
      <c r="C29" s="20">
        <v>-2316</v>
      </c>
      <c r="D29" s="25">
        <v>-2410</v>
      </c>
      <c r="E29" s="25">
        <v>-2712</v>
      </c>
      <c r="F29" s="25">
        <v>-2983</v>
      </c>
      <c r="G29" s="25">
        <v>-2454</v>
      </c>
      <c r="H29" s="21">
        <v>-2259</v>
      </c>
      <c r="I29" s="25">
        <v>-1836</v>
      </c>
      <c r="J29" s="25">
        <v>-1699</v>
      </c>
      <c r="K29" s="22">
        <v>-2205</v>
      </c>
      <c r="L29" s="21">
        <v>-1555</v>
      </c>
      <c r="M29" s="25">
        <v>-2198</v>
      </c>
      <c r="N29" s="25">
        <v>-1849</v>
      </c>
      <c r="O29" s="22">
        <v>-1926</v>
      </c>
      <c r="P29" s="25">
        <v>-1745</v>
      </c>
      <c r="Q29" s="25">
        <v>-1958</v>
      </c>
      <c r="R29" s="25">
        <v>-1917</v>
      </c>
      <c r="S29" s="25">
        <v>-2048</v>
      </c>
      <c r="T29" s="21">
        <v>-1437</v>
      </c>
      <c r="U29" s="25">
        <v>-1081</v>
      </c>
      <c r="V29" s="25">
        <v>-1086</v>
      </c>
      <c r="W29" s="22">
        <v>-803</v>
      </c>
      <c r="X29" s="21">
        <v>-844</v>
      </c>
      <c r="Y29" s="25">
        <v>-1043</v>
      </c>
      <c r="Z29" s="25">
        <v>-933</v>
      </c>
      <c r="AA29" s="22">
        <v>-968</v>
      </c>
      <c r="AB29" s="21">
        <v>-742</v>
      </c>
      <c r="AC29" s="25">
        <v>-884</v>
      </c>
      <c r="AD29" s="25">
        <v>-790</v>
      </c>
      <c r="AE29" s="25">
        <v>-742</v>
      </c>
      <c r="AF29" s="21">
        <v>-1954</v>
      </c>
      <c r="AG29" s="25">
        <v>-1946</v>
      </c>
      <c r="AH29" s="25">
        <v>-1976</v>
      </c>
      <c r="AI29" s="23">
        <v>-1939</v>
      </c>
      <c r="AJ29" s="24">
        <v>-2322</v>
      </c>
      <c r="AK29" s="25">
        <v>-1849</v>
      </c>
      <c r="AL29" s="25">
        <v>-1851</v>
      </c>
      <c r="AM29" s="22">
        <v>-1912</v>
      </c>
      <c r="AN29" s="21">
        <v>-2257</v>
      </c>
      <c r="AO29" s="25">
        <v>-1960</v>
      </c>
      <c r="AP29" s="25">
        <v>-2093</v>
      </c>
      <c r="AQ29" s="22">
        <v>-2388</v>
      </c>
      <c r="AR29" s="39"/>
      <c r="AT29" s="39"/>
    </row>
    <row r="30" spans="2:46" s="26" customFormat="1">
      <c r="B30" s="19" t="s">
        <v>11</v>
      </c>
      <c r="C30" s="20">
        <v>-31710</v>
      </c>
      <c r="D30" s="25">
        <v>-10384</v>
      </c>
      <c r="E30" s="25">
        <v>-4699</v>
      </c>
      <c r="F30" s="25">
        <v>-4271</v>
      </c>
      <c r="G30" s="25">
        <v>-4226</v>
      </c>
      <c r="H30" s="21">
        <v>-4823</v>
      </c>
      <c r="I30" s="25">
        <v>-4021</v>
      </c>
      <c r="J30" s="25">
        <v>-2012</v>
      </c>
      <c r="K30" s="22">
        <v>-1935</v>
      </c>
      <c r="L30" s="21">
        <v>-3393</v>
      </c>
      <c r="M30" s="25">
        <v>-3208</v>
      </c>
      <c r="N30" s="25">
        <v>-2572</v>
      </c>
      <c r="O30" s="22">
        <v>-1600</v>
      </c>
      <c r="P30" s="25">
        <v>-5123</v>
      </c>
      <c r="Q30" s="25">
        <v>-1262</v>
      </c>
      <c r="R30" s="25">
        <v>-2368</v>
      </c>
      <c r="S30" s="25">
        <v>-2807</v>
      </c>
      <c r="T30" s="21">
        <v>-1958</v>
      </c>
      <c r="U30" s="25">
        <v>-1044</v>
      </c>
      <c r="V30" s="25">
        <v>-601</v>
      </c>
      <c r="W30" s="22">
        <v>-484</v>
      </c>
      <c r="X30" s="21">
        <v>-4729</v>
      </c>
      <c r="Y30" s="25">
        <v>-457</v>
      </c>
      <c r="Z30" s="25">
        <v>-1498</v>
      </c>
      <c r="AA30" s="22">
        <v>-1202</v>
      </c>
      <c r="AB30" s="21">
        <v>177</v>
      </c>
      <c r="AC30" s="25">
        <v>-1767</v>
      </c>
      <c r="AD30" s="25">
        <v>-1636</v>
      </c>
      <c r="AE30" s="25">
        <v>-1098</v>
      </c>
      <c r="AF30" s="21">
        <v>-1491</v>
      </c>
      <c r="AG30" s="25">
        <v>-9532</v>
      </c>
      <c r="AH30" s="25">
        <v>-2213</v>
      </c>
      <c r="AI30" s="23">
        <v>-834</v>
      </c>
      <c r="AJ30" s="24">
        <v>-568</v>
      </c>
      <c r="AK30" s="25">
        <v>-1309</v>
      </c>
      <c r="AL30" s="25">
        <v>-821</v>
      </c>
      <c r="AM30" s="22">
        <v>-854</v>
      </c>
      <c r="AN30" s="21">
        <v>-2023</v>
      </c>
      <c r="AO30" s="25">
        <v>-631</v>
      </c>
      <c r="AP30" s="25">
        <v>-2045</v>
      </c>
      <c r="AQ30" s="22">
        <v>-1040</v>
      </c>
      <c r="AR30" s="39"/>
      <c r="AT30" s="39"/>
    </row>
    <row r="31" spans="2:46" s="26" customFormat="1">
      <c r="B31" s="34" t="s">
        <v>12</v>
      </c>
      <c r="C31" s="20">
        <v>-464309</v>
      </c>
      <c r="D31" s="47">
        <f t="shared" ref="D31:F31" si="52">SUM(D23:D30)</f>
        <v>-382295</v>
      </c>
      <c r="E31" s="47">
        <f t="shared" ref="E31" si="53">SUM(E23:E30)</f>
        <v>-322654</v>
      </c>
      <c r="F31" s="47">
        <f t="shared" si="52"/>
        <v>-292911</v>
      </c>
      <c r="G31" s="47">
        <f t="shared" ref="G31:AQ31" si="54">SUM(G23:G30)</f>
        <v>-315817</v>
      </c>
      <c r="H31" s="46">
        <f t="shared" si="54"/>
        <v>-267802</v>
      </c>
      <c r="I31" s="47">
        <f t="shared" si="54"/>
        <v>-208526</v>
      </c>
      <c r="J31" s="47">
        <f t="shared" si="54"/>
        <v>-205408</v>
      </c>
      <c r="K31" s="48">
        <f t="shared" si="54"/>
        <v>-204965</v>
      </c>
      <c r="L31" s="46">
        <f t="shared" si="54"/>
        <v>-187669</v>
      </c>
      <c r="M31" s="47">
        <f t="shared" si="54"/>
        <v>-164966</v>
      </c>
      <c r="N31" s="47">
        <f t="shared" si="54"/>
        <v>-157377</v>
      </c>
      <c r="O31" s="48">
        <f t="shared" si="54"/>
        <v>-184219</v>
      </c>
      <c r="P31" s="47">
        <f t="shared" si="54"/>
        <v>-158235</v>
      </c>
      <c r="Q31" s="47">
        <f t="shared" si="54"/>
        <v>-132546</v>
      </c>
      <c r="R31" s="47">
        <f t="shared" si="54"/>
        <v>-136750</v>
      </c>
      <c r="S31" s="47">
        <f t="shared" si="54"/>
        <v>-131036</v>
      </c>
      <c r="T31" s="46">
        <f t="shared" si="54"/>
        <v>-100715</v>
      </c>
      <c r="U31" s="47">
        <f t="shared" si="54"/>
        <v>-84771</v>
      </c>
      <c r="V31" s="47">
        <f t="shared" si="54"/>
        <v>-76384</v>
      </c>
      <c r="W31" s="48">
        <f t="shared" si="54"/>
        <v>-86902</v>
      </c>
      <c r="X31" s="46">
        <f t="shared" si="54"/>
        <v>-83616</v>
      </c>
      <c r="Y31" s="47">
        <f t="shared" si="54"/>
        <v>-60138</v>
      </c>
      <c r="Z31" s="47">
        <f t="shared" si="54"/>
        <v>-65721</v>
      </c>
      <c r="AA31" s="48">
        <f t="shared" si="54"/>
        <v>-72529</v>
      </c>
      <c r="AB31" s="46">
        <f t="shared" si="54"/>
        <v>-47324</v>
      </c>
      <c r="AC31" s="47">
        <f t="shared" si="54"/>
        <v>-42980</v>
      </c>
      <c r="AD31" s="47">
        <f t="shared" si="54"/>
        <v>-42490</v>
      </c>
      <c r="AE31" s="48">
        <f t="shared" si="54"/>
        <v>-41098</v>
      </c>
      <c r="AF31" s="46">
        <f t="shared" si="54"/>
        <v>-40862</v>
      </c>
      <c r="AG31" s="47">
        <f t="shared" si="54"/>
        <v>-48837</v>
      </c>
      <c r="AH31" s="47">
        <f t="shared" si="54"/>
        <v>-41750</v>
      </c>
      <c r="AI31" s="48">
        <f t="shared" si="54"/>
        <v>-41043</v>
      </c>
      <c r="AJ31" s="46">
        <f t="shared" si="54"/>
        <v>-38234</v>
      </c>
      <c r="AK31" s="47">
        <f t="shared" si="54"/>
        <v>-34725</v>
      </c>
      <c r="AL31" s="47">
        <f t="shared" si="54"/>
        <v>-35973</v>
      </c>
      <c r="AM31" s="48">
        <f t="shared" si="54"/>
        <v>-36565</v>
      </c>
      <c r="AN31" s="46">
        <f t="shared" si="54"/>
        <v>-38889</v>
      </c>
      <c r="AO31" s="47">
        <f t="shared" si="54"/>
        <v>-34378</v>
      </c>
      <c r="AP31" s="47">
        <f t="shared" si="54"/>
        <v>-54730</v>
      </c>
      <c r="AQ31" s="48">
        <f t="shared" si="54"/>
        <v>-40464</v>
      </c>
      <c r="AR31" s="39"/>
    </row>
    <row r="32" spans="2:46" s="26" customFormat="1">
      <c r="B32" s="34" t="s">
        <v>77</v>
      </c>
      <c r="C32" s="111">
        <v>629709</v>
      </c>
      <c r="D32" s="47">
        <f t="shared" ref="D32:F32" si="55">D21+D31</f>
        <v>227049</v>
      </c>
      <c r="E32" s="47">
        <f t="shared" ref="E32" si="56">E21+E31</f>
        <v>53167</v>
      </c>
      <c r="F32" s="47">
        <f t="shared" si="55"/>
        <v>287686</v>
      </c>
      <c r="G32" s="47">
        <f t="shared" ref="G32:AA32" si="57">G21+G31</f>
        <v>264477</v>
      </c>
      <c r="H32" s="46">
        <f t="shared" si="57"/>
        <v>197614</v>
      </c>
      <c r="I32" s="47">
        <f t="shared" si="57"/>
        <v>261708</v>
      </c>
      <c r="J32" s="47">
        <f t="shared" si="57"/>
        <v>176430</v>
      </c>
      <c r="K32" s="48">
        <f t="shared" si="57"/>
        <v>350983</v>
      </c>
      <c r="L32" s="46">
        <f t="shared" si="57"/>
        <v>319041</v>
      </c>
      <c r="M32" s="47">
        <f t="shared" si="57"/>
        <v>116022</v>
      </c>
      <c r="N32" s="47">
        <f t="shared" si="57"/>
        <v>135757</v>
      </c>
      <c r="O32" s="48">
        <f t="shared" si="57"/>
        <v>353334</v>
      </c>
      <c r="P32" s="47">
        <f t="shared" si="57"/>
        <v>63689</v>
      </c>
      <c r="Q32" s="47">
        <f t="shared" si="57"/>
        <v>261113</v>
      </c>
      <c r="R32" s="47">
        <f t="shared" si="57"/>
        <v>259816</v>
      </c>
      <c r="S32" s="47">
        <f t="shared" si="57"/>
        <v>308769</v>
      </c>
      <c r="T32" s="46">
        <f t="shared" si="57"/>
        <v>82852</v>
      </c>
      <c r="U32" s="47">
        <f t="shared" si="57"/>
        <v>115258</v>
      </c>
      <c r="V32" s="47">
        <f t="shared" si="57"/>
        <v>-21082</v>
      </c>
      <c r="W32" s="48">
        <f t="shared" si="57"/>
        <v>99795</v>
      </c>
      <c r="X32" s="46">
        <f t="shared" si="57"/>
        <v>56346</v>
      </c>
      <c r="Y32" s="47">
        <f t="shared" si="57"/>
        <v>79492</v>
      </c>
      <c r="Z32" s="47">
        <f t="shared" si="57"/>
        <v>145773</v>
      </c>
      <c r="AA32" s="48">
        <f t="shared" si="57"/>
        <v>234135</v>
      </c>
      <c r="AB32" s="46">
        <f>SUM(AB21,AB31)</f>
        <v>42247</v>
      </c>
      <c r="AC32" s="47">
        <f t="shared" ref="AC32:AQ32" si="58">SUM(AC21,AC31:AC31)</f>
        <v>17972</v>
      </c>
      <c r="AD32" s="47">
        <f t="shared" si="58"/>
        <v>5401</v>
      </c>
      <c r="AE32" s="47">
        <f t="shared" si="58"/>
        <v>-208</v>
      </c>
      <c r="AF32" s="36">
        <f t="shared" si="58"/>
        <v>1924</v>
      </c>
      <c r="AG32" s="37">
        <f t="shared" si="58"/>
        <v>-1259</v>
      </c>
      <c r="AH32" s="37">
        <f t="shared" si="58"/>
        <v>42450</v>
      </c>
      <c r="AI32" s="48">
        <f t="shared" si="58"/>
        <v>72694</v>
      </c>
      <c r="AJ32" s="46">
        <f t="shared" si="58"/>
        <v>37226</v>
      </c>
      <c r="AK32" s="37">
        <f t="shared" si="58"/>
        <v>38338</v>
      </c>
      <c r="AL32" s="37">
        <f t="shared" si="58"/>
        <v>30553</v>
      </c>
      <c r="AM32" s="38">
        <f t="shared" si="58"/>
        <v>22153</v>
      </c>
      <c r="AN32" s="36">
        <f t="shared" si="58"/>
        <v>55070</v>
      </c>
      <c r="AO32" s="37">
        <f t="shared" si="58"/>
        <v>8424</v>
      </c>
      <c r="AP32" s="37">
        <f t="shared" si="58"/>
        <v>-23680</v>
      </c>
      <c r="AQ32" s="38">
        <f t="shared" si="58"/>
        <v>42301</v>
      </c>
      <c r="AR32" s="39"/>
    </row>
    <row r="33" spans="2:46" s="26" customFormat="1">
      <c r="B33" s="49" t="s">
        <v>23</v>
      </c>
      <c r="C33" s="50">
        <v>0</v>
      </c>
      <c r="D33" s="52">
        <v>0</v>
      </c>
      <c r="E33" s="52">
        <v>0</v>
      </c>
      <c r="F33" s="52">
        <v>0</v>
      </c>
      <c r="G33" s="52">
        <v>0</v>
      </c>
      <c r="H33" s="51">
        <v>0</v>
      </c>
      <c r="I33" s="52">
        <v>0</v>
      </c>
      <c r="J33" s="52">
        <v>0</v>
      </c>
      <c r="K33" s="53">
        <v>0</v>
      </c>
      <c r="L33" s="51">
        <v>0</v>
      </c>
      <c r="M33" s="52">
        <v>0</v>
      </c>
      <c r="N33" s="52">
        <v>0</v>
      </c>
      <c r="O33" s="53">
        <v>0</v>
      </c>
      <c r="P33" s="52">
        <v>0</v>
      </c>
      <c r="Q33" s="52">
        <v>0</v>
      </c>
      <c r="R33" s="52">
        <v>0</v>
      </c>
      <c r="S33" s="52">
        <v>0</v>
      </c>
      <c r="T33" s="51">
        <v>0</v>
      </c>
      <c r="U33" s="52">
        <v>0</v>
      </c>
      <c r="V33" s="52">
        <v>0</v>
      </c>
      <c r="W33" s="53">
        <v>0</v>
      </c>
      <c r="X33" s="51">
        <v>0</v>
      </c>
      <c r="Y33" s="52">
        <v>0</v>
      </c>
      <c r="Z33" s="52">
        <v>0</v>
      </c>
      <c r="AA33" s="53">
        <v>0</v>
      </c>
      <c r="AB33" s="51">
        <v>0</v>
      </c>
      <c r="AC33" s="52">
        <v>0</v>
      </c>
      <c r="AD33" s="52">
        <v>0</v>
      </c>
      <c r="AE33" s="52">
        <v>0</v>
      </c>
      <c r="AF33" s="54">
        <v>0</v>
      </c>
      <c r="AG33" s="55">
        <v>0</v>
      </c>
      <c r="AH33" s="55">
        <v>0</v>
      </c>
      <c r="AI33" s="53">
        <v>0</v>
      </c>
      <c r="AJ33" s="51">
        <v>0</v>
      </c>
      <c r="AK33" s="55">
        <v>0</v>
      </c>
      <c r="AL33" s="55">
        <v>-5612</v>
      </c>
      <c r="AM33" s="56">
        <v>0</v>
      </c>
      <c r="AN33" s="54">
        <v>0</v>
      </c>
      <c r="AO33" s="55">
        <v>0</v>
      </c>
      <c r="AP33" s="55">
        <v>0</v>
      </c>
      <c r="AQ33" s="56">
        <v>0</v>
      </c>
      <c r="AR33" s="39"/>
    </row>
    <row r="34" spans="2:46" s="26" customFormat="1">
      <c r="B34" s="19" t="s">
        <v>14</v>
      </c>
      <c r="C34" s="106">
        <v>30999</v>
      </c>
      <c r="D34" s="103">
        <v>5903</v>
      </c>
      <c r="E34" s="25">
        <v>5433</v>
      </c>
      <c r="F34" s="25">
        <v>14397</v>
      </c>
      <c r="G34" s="25">
        <v>13870</v>
      </c>
      <c r="H34" s="21">
        <v>16713</v>
      </c>
      <c r="I34" s="25">
        <v>8448</v>
      </c>
      <c r="J34" s="25">
        <v>19756</v>
      </c>
      <c r="K34" s="22">
        <v>17928</v>
      </c>
      <c r="L34" s="21">
        <v>15969</v>
      </c>
      <c r="M34" s="25">
        <v>14024</v>
      </c>
      <c r="N34" s="25">
        <v>20541</v>
      </c>
      <c r="O34" s="22">
        <v>21454</v>
      </c>
      <c r="P34" s="25">
        <v>-4417</v>
      </c>
      <c r="Q34" s="25">
        <v>29711</v>
      </c>
      <c r="R34" s="25">
        <v>16138</v>
      </c>
      <c r="S34" s="25">
        <v>1436</v>
      </c>
      <c r="T34" s="21">
        <v>4167</v>
      </c>
      <c r="U34" s="25">
        <v>13064</v>
      </c>
      <c r="V34" s="25">
        <v>-7618</v>
      </c>
      <c r="W34" s="22">
        <v>8278</v>
      </c>
      <c r="X34" s="21">
        <v>2038</v>
      </c>
      <c r="Y34" s="57">
        <v>754</v>
      </c>
      <c r="Z34" s="57">
        <v>2022</v>
      </c>
      <c r="AA34" s="23">
        <v>1043</v>
      </c>
      <c r="AB34" s="21">
        <v>261</v>
      </c>
      <c r="AC34" s="57">
        <v>2408</v>
      </c>
      <c r="AD34" s="57">
        <v>1615</v>
      </c>
      <c r="AE34" s="57">
        <v>1617</v>
      </c>
      <c r="AF34" s="21">
        <v>-174</v>
      </c>
      <c r="AG34" s="25">
        <v>-1062</v>
      </c>
      <c r="AH34" s="25">
        <v>6061</v>
      </c>
      <c r="AI34" s="23">
        <v>4258</v>
      </c>
      <c r="AJ34" s="24">
        <v>2533</v>
      </c>
      <c r="AK34" s="25">
        <v>1364</v>
      </c>
      <c r="AL34" s="25">
        <v>-2080</v>
      </c>
      <c r="AM34" s="22">
        <v>4501</v>
      </c>
      <c r="AN34" s="21">
        <v>7792</v>
      </c>
      <c r="AO34" s="25">
        <v>-5343</v>
      </c>
      <c r="AP34" s="25">
        <v>7667</v>
      </c>
      <c r="AQ34" s="22">
        <v>2006</v>
      </c>
      <c r="AR34" s="39"/>
      <c r="AT34" s="39"/>
    </row>
    <row r="35" spans="2:46" s="26" customFormat="1">
      <c r="B35" s="19" t="s">
        <v>88</v>
      </c>
      <c r="C35" s="20">
        <v>-297</v>
      </c>
      <c r="D35" s="25">
        <v>-12489</v>
      </c>
      <c r="E35" s="25">
        <v>2982</v>
      </c>
      <c r="F35" s="25">
        <v>-41299</v>
      </c>
      <c r="G35" s="25">
        <v>-43788</v>
      </c>
      <c r="H35" s="21">
        <v>17628</v>
      </c>
      <c r="I35" s="25">
        <v>-18244</v>
      </c>
      <c r="J35" s="25">
        <v>-243</v>
      </c>
      <c r="K35" s="22">
        <v>-270</v>
      </c>
      <c r="L35" s="21">
        <v>-31346</v>
      </c>
      <c r="M35" s="25">
        <v>14484</v>
      </c>
      <c r="N35" s="25">
        <v>-11260</v>
      </c>
      <c r="O35" s="22">
        <v>-7776</v>
      </c>
      <c r="P35" s="25">
        <v>-208</v>
      </c>
      <c r="Q35" s="25">
        <v>-277</v>
      </c>
      <c r="R35" s="25">
        <v>1046</v>
      </c>
      <c r="S35" s="25">
        <v>-1558</v>
      </c>
      <c r="T35" s="21">
        <v>-2774</v>
      </c>
      <c r="U35" s="25">
        <v>-134</v>
      </c>
      <c r="V35" s="25">
        <v>-1236</v>
      </c>
      <c r="W35" s="22">
        <v>-114</v>
      </c>
      <c r="X35" s="21">
        <v>-1310</v>
      </c>
      <c r="Y35" s="57">
        <v>-839</v>
      </c>
      <c r="Z35" s="57">
        <v>-7853</v>
      </c>
      <c r="AA35" s="23">
        <v>-12904</v>
      </c>
      <c r="AB35" s="21">
        <v>-1425</v>
      </c>
      <c r="AC35" s="57">
        <v>860</v>
      </c>
      <c r="AD35" s="57">
        <v>-974</v>
      </c>
      <c r="AE35" s="57">
        <v>-338</v>
      </c>
      <c r="AF35" s="21">
        <v>2502</v>
      </c>
      <c r="AG35" s="25">
        <v>733</v>
      </c>
      <c r="AH35" s="25">
        <v>-247</v>
      </c>
      <c r="AI35" s="23">
        <v>-3209</v>
      </c>
      <c r="AJ35" s="24">
        <v>-2177</v>
      </c>
      <c r="AK35" s="25">
        <v>602</v>
      </c>
      <c r="AL35" s="25">
        <v>207</v>
      </c>
      <c r="AM35" s="22">
        <v>-12923</v>
      </c>
      <c r="AN35" s="21">
        <v>108</v>
      </c>
      <c r="AO35" s="25">
        <v>2263</v>
      </c>
      <c r="AP35" s="25">
        <v>1216</v>
      </c>
      <c r="AQ35" s="22">
        <v>-4542</v>
      </c>
      <c r="AR35" s="39"/>
      <c r="AT35" s="39"/>
    </row>
    <row r="36" spans="2:46" s="43" customFormat="1" ht="14.5">
      <c r="B36" s="58" t="s">
        <v>89</v>
      </c>
      <c r="C36" s="28">
        <v>0</v>
      </c>
      <c r="D36" s="33">
        <v>0</v>
      </c>
      <c r="E36" s="33">
        <v>0</v>
      </c>
      <c r="F36" s="33">
        <v>0</v>
      </c>
      <c r="G36" s="33">
        <v>0</v>
      </c>
      <c r="H36" s="29">
        <v>0</v>
      </c>
      <c r="I36" s="33">
        <v>0</v>
      </c>
      <c r="J36" s="33">
        <v>0</v>
      </c>
      <c r="K36" s="30">
        <v>0</v>
      </c>
      <c r="L36" s="29">
        <v>0</v>
      </c>
      <c r="M36" s="33">
        <v>0</v>
      </c>
      <c r="N36" s="33">
        <v>0</v>
      </c>
      <c r="O36" s="30">
        <v>0</v>
      </c>
      <c r="P36" s="33">
        <v>0</v>
      </c>
      <c r="Q36" s="33">
        <v>0</v>
      </c>
      <c r="R36" s="33">
        <v>0</v>
      </c>
      <c r="S36" s="33">
        <v>0</v>
      </c>
      <c r="T36" s="29">
        <v>0</v>
      </c>
      <c r="U36" s="33">
        <v>0</v>
      </c>
      <c r="V36" s="33">
        <v>0</v>
      </c>
      <c r="W36" s="30">
        <v>0</v>
      </c>
      <c r="X36" s="29">
        <v>0</v>
      </c>
      <c r="Y36" s="59">
        <v>0</v>
      </c>
      <c r="Z36" s="59">
        <v>0</v>
      </c>
      <c r="AA36" s="31">
        <v>-21880</v>
      </c>
      <c r="AB36" s="29">
        <v>0</v>
      </c>
      <c r="AC36" s="59">
        <v>0</v>
      </c>
      <c r="AD36" s="59">
        <v>0</v>
      </c>
      <c r="AE36" s="59">
        <v>0</v>
      </c>
      <c r="AF36" s="29">
        <v>0</v>
      </c>
      <c r="AG36" s="33">
        <v>0</v>
      </c>
      <c r="AH36" s="33">
        <v>0</v>
      </c>
      <c r="AI36" s="31">
        <v>0</v>
      </c>
      <c r="AJ36" s="32">
        <v>0</v>
      </c>
      <c r="AK36" s="33">
        <v>0</v>
      </c>
      <c r="AL36" s="33">
        <v>0</v>
      </c>
      <c r="AM36" s="30">
        <v>0</v>
      </c>
      <c r="AN36" s="29">
        <v>0</v>
      </c>
      <c r="AO36" s="33">
        <v>0</v>
      </c>
      <c r="AP36" s="33">
        <v>0</v>
      </c>
      <c r="AQ36" s="30">
        <v>0</v>
      </c>
      <c r="AR36" s="42"/>
      <c r="AT36" s="42"/>
    </row>
    <row r="37" spans="2:46" s="26" customFormat="1">
      <c r="B37" s="34" t="s">
        <v>78</v>
      </c>
      <c r="C37" s="109">
        <v>660411</v>
      </c>
      <c r="D37" s="47">
        <f t="shared" ref="D37:G37" si="59">SUM(D32:D35)</f>
        <v>220463</v>
      </c>
      <c r="E37" s="47">
        <f t="shared" ref="E37" si="60">SUM(E32:E35)</f>
        <v>61582</v>
      </c>
      <c r="F37" s="47">
        <f t="shared" si="59"/>
        <v>260784</v>
      </c>
      <c r="G37" s="47">
        <f t="shared" si="59"/>
        <v>234559</v>
      </c>
      <c r="H37" s="46">
        <f t="shared" ref="H37:J37" si="61">SUM(H32:H35)</f>
        <v>231955</v>
      </c>
      <c r="I37" s="47">
        <f t="shared" si="61"/>
        <v>251912</v>
      </c>
      <c r="J37" s="47">
        <f t="shared" si="61"/>
        <v>195943</v>
      </c>
      <c r="K37" s="48">
        <f t="shared" ref="K37:P37" si="62">SUM(K32:K35)</f>
        <v>368641</v>
      </c>
      <c r="L37" s="46">
        <f t="shared" si="62"/>
        <v>303664</v>
      </c>
      <c r="M37" s="47">
        <f t="shared" si="62"/>
        <v>144530</v>
      </c>
      <c r="N37" s="47">
        <f t="shared" si="62"/>
        <v>145038</v>
      </c>
      <c r="O37" s="48">
        <f t="shared" si="62"/>
        <v>367012</v>
      </c>
      <c r="P37" s="47">
        <f t="shared" si="62"/>
        <v>59064</v>
      </c>
      <c r="Q37" s="47">
        <f t="shared" ref="Q37:V37" si="63">SUM(Q32:Q35)</f>
        <v>290547</v>
      </c>
      <c r="R37" s="47">
        <f t="shared" si="63"/>
        <v>277000</v>
      </c>
      <c r="S37" s="47">
        <f t="shared" si="63"/>
        <v>308647</v>
      </c>
      <c r="T37" s="46">
        <f t="shared" si="63"/>
        <v>84245</v>
      </c>
      <c r="U37" s="47">
        <f t="shared" si="63"/>
        <v>128188</v>
      </c>
      <c r="V37" s="47">
        <f t="shared" si="63"/>
        <v>-29936</v>
      </c>
      <c r="W37" s="48">
        <f t="shared" ref="W37:AB37" si="64">SUM(W32:W35)</f>
        <v>107959</v>
      </c>
      <c r="X37" s="46">
        <f t="shared" si="64"/>
        <v>57074</v>
      </c>
      <c r="Y37" s="47">
        <f t="shared" si="64"/>
        <v>79407</v>
      </c>
      <c r="Z37" s="47">
        <f t="shared" si="64"/>
        <v>139942</v>
      </c>
      <c r="AA37" s="48">
        <f t="shared" si="64"/>
        <v>222274</v>
      </c>
      <c r="AB37" s="46">
        <f t="shared" si="64"/>
        <v>41083</v>
      </c>
      <c r="AC37" s="47">
        <f t="shared" ref="AC37:AQ37" si="65">SUM(AC32:AC36)</f>
        <v>21240</v>
      </c>
      <c r="AD37" s="47">
        <f t="shared" si="65"/>
        <v>6042</v>
      </c>
      <c r="AE37" s="47">
        <f t="shared" si="65"/>
        <v>1071</v>
      </c>
      <c r="AF37" s="36">
        <f t="shared" si="65"/>
        <v>4252</v>
      </c>
      <c r="AG37" s="37">
        <f t="shared" si="65"/>
        <v>-1588</v>
      </c>
      <c r="AH37" s="37">
        <f t="shared" si="65"/>
        <v>48264</v>
      </c>
      <c r="AI37" s="48">
        <f t="shared" si="65"/>
        <v>73743</v>
      </c>
      <c r="AJ37" s="46">
        <f t="shared" si="65"/>
        <v>37582</v>
      </c>
      <c r="AK37" s="37">
        <f t="shared" si="65"/>
        <v>40304</v>
      </c>
      <c r="AL37" s="37">
        <f t="shared" si="65"/>
        <v>23068</v>
      </c>
      <c r="AM37" s="38">
        <f t="shared" si="65"/>
        <v>13731</v>
      </c>
      <c r="AN37" s="36">
        <f t="shared" si="65"/>
        <v>62970</v>
      </c>
      <c r="AO37" s="37">
        <f t="shared" si="65"/>
        <v>5344</v>
      </c>
      <c r="AP37" s="37">
        <f t="shared" si="65"/>
        <v>-14797</v>
      </c>
      <c r="AQ37" s="38">
        <f t="shared" si="65"/>
        <v>39765</v>
      </c>
      <c r="AR37" s="39"/>
    </row>
    <row r="38" spans="2:46" s="26" customFormat="1">
      <c r="B38" s="19" t="s">
        <v>16</v>
      </c>
      <c r="C38" s="20">
        <v>-125369</v>
      </c>
      <c r="D38" s="25">
        <v>-39543</v>
      </c>
      <c r="E38" s="25">
        <v>-8355</v>
      </c>
      <c r="F38" s="25">
        <v>-44655</v>
      </c>
      <c r="G38" s="25">
        <v>-40636</v>
      </c>
      <c r="H38" s="21">
        <v>-41971</v>
      </c>
      <c r="I38" s="25">
        <v>-48086</v>
      </c>
      <c r="J38" s="25">
        <v>-35643</v>
      </c>
      <c r="K38" s="22">
        <v>-65895</v>
      </c>
      <c r="L38" s="21">
        <v>-54615</v>
      </c>
      <c r="M38" s="25">
        <v>-23403</v>
      </c>
      <c r="N38" s="25">
        <v>-26855</v>
      </c>
      <c r="O38" s="22">
        <v>-64198</v>
      </c>
      <c r="P38" s="25">
        <v>-8757</v>
      </c>
      <c r="Q38" s="25">
        <v>-54328</v>
      </c>
      <c r="R38" s="25">
        <v>-50069</v>
      </c>
      <c r="S38" s="25">
        <v>-56008</v>
      </c>
      <c r="T38" s="21">
        <v>-15726</v>
      </c>
      <c r="U38" s="25">
        <v>-23883</v>
      </c>
      <c r="V38" s="25">
        <v>5891</v>
      </c>
      <c r="W38" s="22">
        <v>-18908</v>
      </c>
      <c r="X38" s="21">
        <v>-16843</v>
      </c>
      <c r="Y38" s="57">
        <v>-11010</v>
      </c>
      <c r="Z38" s="57">
        <v>-22452</v>
      </c>
      <c r="AA38" s="23">
        <v>-46305</v>
      </c>
      <c r="AB38" s="21">
        <v>-4045</v>
      </c>
      <c r="AC38" s="57">
        <v>-5733</v>
      </c>
      <c r="AD38" s="57">
        <v>-1649</v>
      </c>
      <c r="AE38" s="57">
        <v>-308</v>
      </c>
      <c r="AF38" s="21">
        <v>-279</v>
      </c>
      <c r="AG38" s="25">
        <v>-1316</v>
      </c>
      <c r="AH38" s="25">
        <v>-7349</v>
      </c>
      <c r="AI38" s="23">
        <v>-14256</v>
      </c>
      <c r="AJ38" s="24">
        <v>-5309</v>
      </c>
      <c r="AK38" s="25">
        <v>-8962</v>
      </c>
      <c r="AL38" s="25">
        <v>-4350</v>
      </c>
      <c r="AM38" s="22">
        <v>-3091</v>
      </c>
      <c r="AN38" s="21">
        <v>-12548</v>
      </c>
      <c r="AO38" s="25">
        <v>-1106</v>
      </c>
      <c r="AP38" s="25">
        <v>5985</v>
      </c>
      <c r="AQ38" s="22">
        <v>-7906</v>
      </c>
      <c r="AR38" s="39"/>
      <c r="AT38" s="39"/>
    </row>
    <row r="39" spans="2:46" s="26" customFormat="1">
      <c r="B39" s="34" t="s">
        <v>108</v>
      </c>
      <c r="C39" s="108">
        <v>535042</v>
      </c>
      <c r="D39" s="47">
        <f t="shared" ref="D39:G39" si="66">D37+D38</f>
        <v>180920</v>
      </c>
      <c r="E39" s="47">
        <f t="shared" ref="E39" si="67">E37+E38</f>
        <v>53227</v>
      </c>
      <c r="F39" s="47">
        <f t="shared" si="66"/>
        <v>216129</v>
      </c>
      <c r="G39" s="47">
        <f t="shared" si="66"/>
        <v>193923</v>
      </c>
      <c r="H39" s="46">
        <f t="shared" ref="H39:J39" si="68">H37+H38</f>
        <v>189984</v>
      </c>
      <c r="I39" s="47">
        <f t="shared" si="68"/>
        <v>203826</v>
      </c>
      <c r="J39" s="47">
        <f t="shared" si="68"/>
        <v>160300</v>
      </c>
      <c r="K39" s="48">
        <f t="shared" ref="K39:P39" si="69">K37+K38</f>
        <v>302746</v>
      </c>
      <c r="L39" s="46">
        <f t="shared" si="69"/>
        <v>249049</v>
      </c>
      <c r="M39" s="47">
        <f t="shared" si="69"/>
        <v>121127</v>
      </c>
      <c r="N39" s="47">
        <f t="shared" si="69"/>
        <v>118183</v>
      </c>
      <c r="O39" s="48">
        <f t="shared" si="69"/>
        <v>302814</v>
      </c>
      <c r="P39" s="47">
        <f t="shared" si="69"/>
        <v>50307</v>
      </c>
      <c r="Q39" s="47">
        <f t="shared" ref="Q39" si="70">Q37+Q38</f>
        <v>236219</v>
      </c>
      <c r="R39" s="47">
        <f t="shared" ref="R39:AA39" si="71">R37+R38</f>
        <v>226931</v>
      </c>
      <c r="S39" s="47">
        <f t="shared" si="71"/>
        <v>252639</v>
      </c>
      <c r="T39" s="46">
        <f t="shared" si="71"/>
        <v>68519</v>
      </c>
      <c r="U39" s="47">
        <f t="shared" ref="U39" si="72">U37+U38</f>
        <v>104305</v>
      </c>
      <c r="V39" s="47">
        <f t="shared" si="71"/>
        <v>-24045</v>
      </c>
      <c r="W39" s="48">
        <f t="shared" si="71"/>
        <v>89051</v>
      </c>
      <c r="X39" s="46">
        <f t="shared" si="71"/>
        <v>40231</v>
      </c>
      <c r="Y39" s="47">
        <f t="shared" si="71"/>
        <v>68397</v>
      </c>
      <c r="Z39" s="47">
        <f t="shared" si="71"/>
        <v>117490</v>
      </c>
      <c r="AA39" s="48">
        <f t="shared" si="71"/>
        <v>175969</v>
      </c>
      <c r="AB39" s="46">
        <f>SUM(AB37:AB38)</f>
        <v>37038</v>
      </c>
      <c r="AC39" s="47">
        <f t="shared" ref="AC39" si="73">SUM(AC37:AC38)</f>
        <v>15507</v>
      </c>
      <c r="AD39" s="47">
        <f t="shared" ref="AD39:AE39" si="74">SUM(AD37:AD38)</f>
        <v>4393</v>
      </c>
      <c r="AE39" s="47">
        <f t="shared" si="74"/>
        <v>763</v>
      </c>
      <c r="AF39" s="36">
        <f t="shared" ref="AF39:AH39" si="75">SUM(AF37:AF38)</f>
        <v>3973</v>
      </c>
      <c r="AG39" s="37">
        <f t="shared" ref="AG39" si="76">SUM(AG37:AG38)</f>
        <v>-2904</v>
      </c>
      <c r="AH39" s="37">
        <f t="shared" si="75"/>
        <v>40915</v>
      </c>
      <c r="AI39" s="48">
        <f t="shared" ref="AI39" si="77">SUM(AI37:AI38)</f>
        <v>59487</v>
      </c>
      <c r="AJ39" s="46">
        <f t="shared" ref="AJ39:AM39" si="78">SUM(AJ37:AJ38)</f>
        <v>32273</v>
      </c>
      <c r="AK39" s="37">
        <f t="shared" ref="AK39" si="79">SUM(AK37:AK38)</f>
        <v>31342</v>
      </c>
      <c r="AL39" s="37">
        <f t="shared" si="78"/>
        <v>18718</v>
      </c>
      <c r="AM39" s="38">
        <f t="shared" si="78"/>
        <v>10640</v>
      </c>
      <c r="AN39" s="36">
        <f t="shared" ref="AN39:AO39" si="80">SUM(AN37:AN38)</f>
        <v>50422</v>
      </c>
      <c r="AO39" s="37">
        <f t="shared" si="80"/>
        <v>4238</v>
      </c>
      <c r="AP39" s="37">
        <f t="shared" ref="AP39:AQ39" si="81">SUM(AP37:AP38)</f>
        <v>-8812</v>
      </c>
      <c r="AQ39" s="38">
        <f t="shared" si="81"/>
        <v>31859</v>
      </c>
      <c r="AR39" s="39"/>
    </row>
    <row r="40" spans="2:46" s="43" customFormat="1" ht="14.5">
      <c r="B40" s="95" t="s">
        <v>109</v>
      </c>
      <c r="C40" s="110">
        <v>535034</v>
      </c>
      <c r="D40" s="104">
        <v>180902</v>
      </c>
      <c r="E40" s="33">
        <v>53222</v>
      </c>
      <c r="F40" s="33">
        <v>216125</v>
      </c>
      <c r="G40" s="33">
        <v>193946</v>
      </c>
      <c r="H40" s="29">
        <v>190028</v>
      </c>
      <c r="I40" s="33">
        <v>203898</v>
      </c>
      <c r="J40" s="33">
        <v>160332</v>
      </c>
      <c r="K40" s="30">
        <v>302767</v>
      </c>
      <c r="L40" s="29">
        <v>249049</v>
      </c>
      <c r="M40" s="33">
        <v>121127</v>
      </c>
      <c r="N40" s="33">
        <v>118183</v>
      </c>
      <c r="O40" s="30">
        <v>302814</v>
      </c>
      <c r="P40" s="33">
        <v>50307</v>
      </c>
      <c r="Q40" s="33">
        <v>236219</v>
      </c>
      <c r="R40" s="33">
        <v>226931</v>
      </c>
      <c r="S40" s="33">
        <v>252639</v>
      </c>
      <c r="T40" s="29">
        <v>68519</v>
      </c>
      <c r="U40" s="33">
        <v>104305</v>
      </c>
      <c r="V40" s="33">
        <v>-24045</v>
      </c>
      <c r="W40" s="30">
        <v>89051</v>
      </c>
      <c r="X40" s="29">
        <v>40231</v>
      </c>
      <c r="Y40" s="59">
        <v>68397</v>
      </c>
      <c r="Z40" s="59">
        <v>117490</v>
      </c>
      <c r="AA40" s="31">
        <v>175969</v>
      </c>
      <c r="AB40" s="29">
        <v>37038</v>
      </c>
      <c r="AC40" s="59">
        <v>15507</v>
      </c>
      <c r="AD40" s="59">
        <v>4393</v>
      </c>
      <c r="AE40" s="59">
        <v>763</v>
      </c>
      <c r="AF40" s="29">
        <v>3973</v>
      </c>
      <c r="AG40" s="33">
        <v>-2904</v>
      </c>
      <c r="AH40" s="33">
        <v>40915</v>
      </c>
      <c r="AI40" s="31">
        <v>59487</v>
      </c>
      <c r="AJ40" s="32">
        <v>32273</v>
      </c>
      <c r="AK40" s="33">
        <v>31342</v>
      </c>
      <c r="AL40" s="33">
        <v>18718</v>
      </c>
      <c r="AM40" s="30">
        <v>10640</v>
      </c>
      <c r="AN40" s="29">
        <v>50422</v>
      </c>
      <c r="AO40" s="33">
        <v>4238</v>
      </c>
      <c r="AP40" s="33">
        <v>-8812</v>
      </c>
      <c r="AQ40" s="30">
        <v>31859</v>
      </c>
    </row>
    <row r="41" spans="2:46" s="43" customFormat="1" ht="14.5">
      <c r="B41" s="96" t="s">
        <v>110</v>
      </c>
      <c r="C41" s="102">
        <v>8</v>
      </c>
      <c r="D41" s="105">
        <v>19</v>
      </c>
      <c r="E41" s="61">
        <v>7</v>
      </c>
      <c r="F41" s="61">
        <v>4</v>
      </c>
      <c r="G41" s="61">
        <v>-23</v>
      </c>
      <c r="H41" s="60">
        <v>-44</v>
      </c>
      <c r="I41" s="61">
        <v>-72</v>
      </c>
      <c r="J41" s="61">
        <v>-32</v>
      </c>
      <c r="K41" s="62">
        <v>-21</v>
      </c>
      <c r="L41" s="60">
        <v>0</v>
      </c>
      <c r="M41" s="61">
        <v>0</v>
      </c>
      <c r="N41" s="61">
        <v>0</v>
      </c>
      <c r="O41" s="62">
        <v>0</v>
      </c>
      <c r="P41" s="61">
        <v>0</v>
      </c>
      <c r="Q41" s="61">
        <v>0</v>
      </c>
      <c r="R41" s="61">
        <v>0</v>
      </c>
      <c r="S41" s="61">
        <v>0</v>
      </c>
      <c r="T41" s="60">
        <v>0</v>
      </c>
      <c r="U41" s="61">
        <v>0</v>
      </c>
      <c r="V41" s="61">
        <v>0</v>
      </c>
      <c r="W41" s="62">
        <v>0</v>
      </c>
      <c r="X41" s="60">
        <v>0</v>
      </c>
      <c r="Y41" s="61">
        <v>0</v>
      </c>
      <c r="Z41" s="61">
        <v>0</v>
      </c>
      <c r="AA41" s="62">
        <v>0</v>
      </c>
      <c r="AB41" s="60">
        <v>0</v>
      </c>
      <c r="AC41" s="61">
        <v>0</v>
      </c>
      <c r="AD41" s="61">
        <v>0</v>
      </c>
      <c r="AE41" s="61">
        <v>0</v>
      </c>
      <c r="AF41" s="63">
        <v>0</v>
      </c>
      <c r="AG41" s="64">
        <v>0</v>
      </c>
      <c r="AH41" s="64">
        <v>0</v>
      </c>
      <c r="AI41" s="62">
        <v>0</v>
      </c>
      <c r="AJ41" s="60">
        <v>0</v>
      </c>
      <c r="AK41" s="64">
        <v>0</v>
      </c>
      <c r="AL41" s="64">
        <v>0</v>
      </c>
      <c r="AM41" s="65">
        <v>0</v>
      </c>
      <c r="AN41" s="63">
        <v>0</v>
      </c>
      <c r="AO41" s="64">
        <v>0</v>
      </c>
      <c r="AP41" s="64">
        <v>0</v>
      </c>
      <c r="AQ41" s="65">
        <v>0</v>
      </c>
    </row>
    <row r="42" spans="2:46" s="43" customFormat="1" ht="6.75" customHeight="1">
      <c r="B42" s="84"/>
      <c r="C42" s="84"/>
      <c r="D42" s="84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33"/>
      <c r="AG42" s="33"/>
      <c r="AH42" s="33"/>
      <c r="AI42" s="59"/>
      <c r="AJ42" s="59"/>
      <c r="AK42" s="33"/>
      <c r="AL42" s="33"/>
      <c r="AM42" s="33"/>
      <c r="AN42" s="33"/>
      <c r="AO42" s="33"/>
      <c r="AP42" s="33"/>
      <c r="AQ42" s="33"/>
    </row>
    <row r="43" spans="2:46" s="26" customFormat="1">
      <c r="B43" s="81" t="s">
        <v>18</v>
      </c>
      <c r="C43" s="81"/>
      <c r="D43" s="81"/>
      <c r="L43" s="39"/>
      <c r="P43" s="39"/>
    </row>
    <row r="44" spans="2:46" s="26" customFormat="1">
      <c r="B44" s="81"/>
      <c r="C44" s="81"/>
      <c r="D44" s="81"/>
      <c r="L44" s="39"/>
      <c r="P44" s="39"/>
    </row>
    <row r="45" spans="2:46" s="26" customFormat="1" ht="18">
      <c r="B45" s="82" t="s">
        <v>130</v>
      </c>
      <c r="C45" s="82"/>
      <c r="D45" s="82"/>
      <c r="AL45" s="88"/>
    </row>
    <row r="46" spans="2:46" s="26" customFormat="1">
      <c r="B46" s="115" t="s">
        <v>65</v>
      </c>
      <c r="C46" s="5"/>
      <c r="D46" s="5"/>
      <c r="E46" s="5"/>
      <c r="F46" s="5"/>
      <c r="G46" s="5"/>
      <c r="H46" s="118" t="s">
        <v>54</v>
      </c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</row>
    <row r="47" spans="2:46" s="26" customFormat="1" ht="23">
      <c r="B47" s="116"/>
      <c r="C47" s="6" t="s">
        <v>162</v>
      </c>
      <c r="D47" s="6" t="s">
        <v>156</v>
      </c>
      <c r="E47" s="6" t="s">
        <v>154</v>
      </c>
      <c r="F47" s="6" t="s">
        <v>153</v>
      </c>
      <c r="G47" s="6" t="s">
        <v>121</v>
      </c>
      <c r="H47" s="7" t="s">
        <v>120</v>
      </c>
      <c r="I47" s="8" t="s">
        <v>118</v>
      </c>
      <c r="J47" s="8" t="s">
        <v>114</v>
      </c>
      <c r="K47" s="8" t="s">
        <v>107</v>
      </c>
      <c r="L47" s="7" t="s">
        <v>106</v>
      </c>
      <c r="M47" s="8" t="s">
        <v>105</v>
      </c>
      <c r="N47" s="8" t="s">
        <v>104</v>
      </c>
      <c r="O47" s="8" t="s">
        <v>103</v>
      </c>
      <c r="P47" s="7" t="s">
        <v>102</v>
      </c>
      <c r="Q47" s="8" t="s">
        <v>101</v>
      </c>
      <c r="R47" s="8" t="s">
        <v>100</v>
      </c>
      <c r="S47" s="8" t="s">
        <v>99</v>
      </c>
      <c r="T47" s="7" t="s">
        <v>97</v>
      </c>
      <c r="U47" s="8" t="s">
        <v>96</v>
      </c>
      <c r="V47" s="8" t="s">
        <v>95</v>
      </c>
      <c r="W47" s="9" t="s">
        <v>94</v>
      </c>
      <c r="X47" s="7" t="s">
        <v>93</v>
      </c>
      <c r="Y47" s="8" t="s">
        <v>91</v>
      </c>
      <c r="Z47" s="8" t="s">
        <v>90</v>
      </c>
      <c r="AA47" s="9" t="s">
        <v>87</v>
      </c>
      <c r="AB47" s="7" t="s">
        <v>81</v>
      </c>
      <c r="AC47" s="8" t="s">
        <v>80</v>
      </c>
      <c r="AD47" s="8" t="s">
        <v>79</v>
      </c>
      <c r="AE47" s="9" t="s">
        <v>83</v>
      </c>
      <c r="AF47" s="7" t="s">
        <v>73</v>
      </c>
      <c r="AG47" s="8" t="s">
        <v>72</v>
      </c>
      <c r="AH47" s="8" t="s">
        <v>71</v>
      </c>
      <c r="AI47" s="9" t="s">
        <v>84</v>
      </c>
      <c r="AJ47" s="7" t="s">
        <v>67</v>
      </c>
      <c r="AK47" s="8" t="s">
        <v>59</v>
      </c>
      <c r="AL47" s="8" t="s">
        <v>58</v>
      </c>
      <c r="AM47" s="9" t="s">
        <v>85</v>
      </c>
      <c r="AN47" s="7" t="s">
        <v>57</v>
      </c>
      <c r="AO47" s="8" t="s">
        <v>56</v>
      </c>
      <c r="AP47" s="8" t="s">
        <v>55</v>
      </c>
      <c r="AQ47" s="9" t="s">
        <v>86</v>
      </c>
    </row>
    <row r="48" spans="2:46" s="26" customFormat="1">
      <c r="B48" s="19" t="s">
        <v>133</v>
      </c>
      <c r="C48" s="106">
        <v>780150</v>
      </c>
      <c r="D48" s="103">
        <v>421344</v>
      </c>
      <c r="E48" s="25">
        <v>269149</v>
      </c>
      <c r="F48" s="25">
        <v>365760</v>
      </c>
      <c r="G48" s="25">
        <v>391651</v>
      </c>
      <c r="H48" s="21">
        <f>1196513-I48-J48-K48</f>
        <v>306797</v>
      </c>
      <c r="I48" s="25">
        <v>289111</v>
      </c>
      <c r="J48" s="25">
        <f>600605-K48</f>
        <v>234615</v>
      </c>
      <c r="K48" s="22">
        <v>365990</v>
      </c>
      <c r="L48" s="21">
        <v>336664</v>
      </c>
      <c r="M48" s="25">
        <v>129600</v>
      </c>
      <c r="N48" s="25">
        <v>171946</v>
      </c>
      <c r="O48" s="22">
        <v>345133</v>
      </c>
      <c r="P48" s="21">
        <v>94550</v>
      </c>
      <c r="Q48" s="25">
        <v>251072</v>
      </c>
      <c r="R48" s="25">
        <v>287388</v>
      </c>
      <c r="S48" s="22">
        <v>216857</v>
      </c>
      <c r="T48" s="21">
        <f>327289-U48-V48-W48</f>
        <v>104382</v>
      </c>
      <c r="U48" s="25">
        <v>106597</v>
      </c>
      <c r="V48" s="25">
        <f>116310-W48</f>
        <v>5898</v>
      </c>
      <c r="W48" s="22">
        <v>110412</v>
      </c>
      <c r="X48" s="21">
        <f>404414-Y48-Z48-AA48</f>
        <v>87840</v>
      </c>
      <c r="Y48" s="25">
        <v>59450</v>
      </c>
      <c r="Z48" s="25">
        <f>257124-AA48</f>
        <v>106062</v>
      </c>
      <c r="AA48" s="22">
        <v>151062</v>
      </c>
      <c r="AB48" s="21">
        <f>121334-AC48-AD48-AE48</f>
        <v>42379</v>
      </c>
      <c r="AC48" s="25">
        <v>34252</v>
      </c>
      <c r="AD48" s="25">
        <f>44703-AE48</f>
        <v>19706</v>
      </c>
      <c r="AE48" s="22">
        <v>24997</v>
      </c>
      <c r="AF48" s="21">
        <f>140494-AG48-AH48-AI48</f>
        <v>7800</v>
      </c>
      <c r="AG48" s="25">
        <v>27976</v>
      </c>
      <c r="AH48" s="25">
        <f>104718-AI48</f>
        <v>50926</v>
      </c>
      <c r="AI48" s="22">
        <v>53792</v>
      </c>
      <c r="AJ48" s="21">
        <f>131423-AK48-AL48-AM48</f>
        <v>41238</v>
      </c>
      <c r="AK48" s="25">
        <v>40020</v>
      </c>
      <c r="AL48" s="25">
        <f>50165-AM48</f>
        <v>27272</v>
      </c>
      <c r="AM48" s="22">
        <v>22893</v>
      </c>
      <c r="AN48" s="21">
        <f>128915-AO48-AP48-AQ48</f>
        <v>58602</v>
      </c>
      <c r="AO48" s="25">
        <v>23340</v>
      </c>
      <c r="AP48" s="25">
        <f>46973-AQ48</f>
        <v>8713</v>
      </c>
      <c r="AQ48" s="22">
        <v>38260</v>
      </c>
    </row>
    <row r="49" spans="2:44" s="26" customFormat="1">
      <c r="B49" s="27" t="s">
        <v>132</v>
      </c>
      <c r="C49" s="107">
        <v>568844</v>
      </c>
      <c r="D49" s="86">
        <v>341443</v>
      </c>
      <c r="E49" s="33">
        <v>220922</v>
      </c>
      <c r="F49" s="33">
        <v>291334</v>
      </c>
      <c r="G49" s="33">
        <v>314651</v>
      </c>
      <c r="H49" s="29">
        <f>956542-I49-J49-K49</f>
        <v>256919</v>
      </c>
      <c r="I49" s="33">
        <v>222722</v>
      </c>
      <c r="J49" s="33">
        <f>476901-K49</f>
        <v>189281</v>
      </c>
      <c r="K49" s="30">
        <v>287620</v>
      </c>
      <c r="L49" s="29">
        <v>289203</v>
      </c>
      <c r="M49" s="33">
        <v>62432</v>
      </c>
      <c r="N49" s="33">
        <v>124431</v>
      </c>
      <c r="O49" s="30">
        <v>280038</v>
      </c>
      <c r="P49" s="29">
        <v>76934</v>
      </c>
      <c r="Q49" s="33">
        <v>195423</v>
      </c>
      <c r="R49" s="33">
        <v>213374</v>
      </c>
      <c r="S49" s="30">
        <v>119975</v>
      </c>
      <c r="T49" s="29">
        <f>209804-U49-V49-W49</f>
        <v>77887</v>
      </c>
      <c r="U49" s="33">
        <v>64413</v>
      </c>
      <c r="V49" s="33">
        <f>67504-W49</f>
        <v>-2991</v>
      </c>
      <c r="W49" s="30">
        <v>70495</v>
      </c>
      <c r="X49" s="29">
        <f>295148-Y49-Z49-AA49</f>
        <v>70038</v>
      </c>
      <c r="Y49" s="33">
        <v>48180</v>
      </c>
      <c r="Z49" s="33">
        <f>176930-AA49</f>
        <v>91498</v>
      </c>
      <c r="AA49" s="30">
        <v>85432</v>
      </c>
      <c r="AB49" s="29">
        <f>95390-AC49-AD49-AE49</f>
        <v>33967</v>
      </c>
      <c r="AC49" s="33">
        <v>25211</v>
      </c>
      <c r="AD49" s="33">
        <f>36212-AE49</f>
        <v>13893</v>
      </c>
      <c r="AE49" s="30">
        <v>22319</v>
      </c>
      <c r="AF49" s="29">
        <f>72525-AG49-AH49-AI49</f>
        <v>-9739</v>
      </c>
      <c r="AG49" s="33">
        <v>18265</v>
      </c>
      <c r="AH49" s="33">
        <f>63999-AI49</f>
        <v>33655</v>
      </c>
      <c r="AI49" s="30">
        <v>30344</v>
      </c>
      <c r="AJ49" s="29">
        <f>78332-AK49-AL49-AM49</f>
        <v>29837</v>
      </c>
      <c r="AK49" s="33">
        <v>24173</v>
      </c>
      <c r="AL49" s="33">
        <f>24322-AM49</f>
        <v>13712</v>
      </c>
      <c r="AM49" s="30">
        <v>10610</v>
      </c>
      <c r="AN49" s="29">
        <f>80008-AO49-AP49-AQ49</f>
        <v>38335</v>
      </c>
      <c r="AO49" s="33">
        <v>15052</v>
      </c>
      <c r="AP49" s="33">
        <f>26621-AQ49</f>
        <v>4087</v>
      </c>
      <c r="AQ49" s="30">
        <v>22534</v>
      </c>
    </row>
    <row r="50" spans="2:44" s="26" customFormat="1">
      <c r="B50" s="19" t="s">
        <v>134</v>
      </c>
      <c r="C50" s="106">
        <v>232791</v>
      </c>
      <c r="D50" s="103">
        <v>101337</v>
      </c>
      <c r="E50" s="25">
        <v>48691</v>
      </c>
      <c r="F50" s="25">
        <v>128520</v>
      </c>
      <c r="G50" s="25">
        <v>108861</v>
      </c>
      <c r="H50" s="21">
        <f>355868-I50-J50-K50</f>
        <v>67392</v>
      </c>
      <c r="I50" s="25">
        <v>103510</v>
      </c>
      <c r="J50" s="25">
        <f>184966-K50</f>
        <v>68174</v>
      </c>
      <c r="K50" s="22">
        <v>116792</v>
      </c>
      <c r="L50" s="21">
        <v>93618</v>
      </c>
      <c r="M50" s="25">
        <v>84197</v>
      </c>
      <c r="N50" s="25">
        <v>65838</v>
      </c>
      <c r="O50" s="22">
        <v>125935</v>
      </c>
      <c r="P50" s="21">
        <v>62313</v>
      </c>
      <c r="Q50" s="25">
        <v>75104</v>
      </c>
      <c r="R50" s="25">
        <v>72410</v>
      </c>
      <c r="S50" s="22">
        <v>146374</v>
      </c>
      <c r="T50" s="21">
        <f>165349-U50-V50-W50</f>
        <v>38675</v>
      </c>
      <c r="U50" s="25">
        <v>50512</v>
      </c>
      <c r="V50" s="25">
        <f>76162-W50</f>
        <v>22823</v>
      </c>
      <c r="W50" s="22">
        <v>53339</v>
      </c>
      <c r="X50" s="21">
        <f>303177-Y50-Z50-AA50</f>
        <v>33095</v>
      </c>
      <c r="Y50" s="25">
        <v>54550</v>
      </c>
      <c r="Z50" s="25">
        <f>215532-AA50</f>
        <v>83142</v>
      </c>
      <c r="AA50" s="22">
        <v>132390</v>
      </c>
      <c r="AB50" s="21">
        <f>90934-AC50-AD50-AE50</f>
        <v>31064</v>
      </c>
      <c r="AC50" s="25">
        <v>22934</v>
      </c>
      <c r="AD50" s="25">
        <f>36936-AE50</f>
        <v>24010</v>
      </c>
      <c r="AE50" s="22">
        <v>12926</v>
      </c>
      <c r="AF50" s="21">
        <f>124488-AG50-AH50-AI50</f>
        <v>27060</v>
      </c>
      <c r="AG50" s="25">
        <v>14295</v>
      </c>
      <c r="AH50" s="25">
        <f>83133-AI50</f>
        <v>28995</v>
      </c>
      <c r="AI50" s="22">
        <v>54138</v>
      </c>
      <c r="AJ50" s="21">
        <f>128564-AK50-AL50-AM50</f>
        <v>32156</v>
      </c>
      <c r="AK50" s="25">
        <v>29367</v>
      </c>
      <c r="AL50" s="25">
        <f>67041-AM50</f>
        <v>36115</v>
      </c>
      <c r="AM50" s="22">
        <v>30926</v>
      </c>
      <c r="AN50" s="21">
        <f>105986-AO50-AP50-AQ50</f>
        <v>28524</v>
      </c>
      <c r="AO50" s="25">
        <v>19101</v>
      </c>
      <c r="AP50" s="25">
        <f>58361-AQ50</f>
        <v>21069</v>
      </c>
      <c r="AQ50" s="22">
        <v>37292</v>
      </c>
    </row>
    <row r="51" spans="2:44" s="26" customFormat="1">
      <c r="B51" s="19" t="s">
        <v>149</v>
      </c>
      <c r="C51" s="106">
        <v>35362</v>
      </c>
      <c r="D51" s="25">
        <v>-5807</v>
      </c>
      <c r="E51" s="25">
        <v>35355</v>
      </c>
      <c r="F51" s="25">
        <v>63946</v>
      </c>
      <c r="G51" s="25">
        <v>34765</v>
      </c>
      <c r="H51" s="21">
        <f>117930-I51-J51-K51</f>
        <v>17433</v>
      </c>
      <c r="I51" s="25">
        <v>34188</v>
      </c>
      <c r="J51" s="25">
        <f>66309-K51</f>
        <v>33004</v>
      </c>
      <c r="K51" s="22">
        <v>33305</v>
      </c>
      <c r="L51" s="21">
        <v>39573</v>
      </c>
      <c r="M51" s="25">
        <v>37190</v>
      </c>
      <c r="N51" s="25">
        <v>32227</v>
      </c>
      <c r="O51" s="22">
        <v>38705</v>
      </c>
      <c r="P51" s="21">
        <v>41980</v>
      </c>
      <c r="Q51" s="25">
        <v>49613</v>
      </c>
      <c r="R51" s="25">
        <v>29277</v>
      </c>
      <c r="S51" s="22">
        <v>76381</v>
      </c>
      <c r="T51" s="21">
        <f>127745-U51-V51-W51</f>
        <v>35758</v>
      </c>
      <c r="U51" s="25">
        <v>42460</v>
      </c>
      <c r="V51" s="25">
        <f>49527-W51</f>
        <v>26581</v>
      </c>
      <c r="W51" s="22">
        <v>22946</v>
      </c>
      <c r="X51" s="21">
        <f>90159-Y51-Z51-AA51</f>
        <v>19027</v>
      </c>
      <c r="Y51" s="25">
        <v>25630</v>
      </c>
      <c r="Z51" s="25">
        <f>45502-AA51</f>
        <v>22290</v>
      </c>
      <c r="AA51" s="22">
        <v>23212</v>
      </c>
      <c r="AB51" s="21">
        <f>27036-AC51-AD51-AE51</f>
        <v>16128</v>
      </c>
      <c r="AC51" s="25">
        <v>3766</v>
      </c>
      <c r="AD51" s="25">
        <f>7142-AE51</f>
        <v>4175</v>
      </c>
      <c r="AE51" s="22">
        <v>2967</v>
      </c>
      <c r="AF51" s="21">
        <f>23319-AG51-AH51-AI51</f>
        <v>7926</v>
      </c>
      <c r="AG51" s="25">
        <v>5307</v>
      </c>
      <c r="AH51" s="25">
        <f>10086-AI51</f>
        <v>4279</v>
      </c>
      <c r="AI51" s="22">
        <v>5807</v>
      </c>
      <c r="AJ51" s="21">
        <f>13780-AK51-AL51-AM51</f>
        <v>2066</v>
      </c>
      <c r="AK51" s="25">
        <v>3676</v>
      </c>
      <c r="AL51" s="25">
        <f>8038-AM51</f>
        <v>3139</v>
      </c>
      <c r="AM51" s="22">
        <v>4899</v>
      </c>
      <c r="AN51" s="21">
        <f>15675-AO51-AP51-AQ51</f>
        <v>6833</v>
      </c>
      <c r="AO51" s="25">
        <v>361</v>
      </c>
      <c r="AP51" s="25">
        <f>8481-AQ51</f>
        <v>1268</v>
      </c>
      <c r="AQ51" s="22">
        <v>7213</v>
      </c>
    </row>
    <row r="52" spans="2:44" s="26" customFormat="1">
      <c r="B52" s="19" t="s">
        <v>140</v>
      </c>
      <c r="C52" s="106">
        <v>45711</v>
      </c>
      <c r="D52" s="103">
        <v>92465</v>
      </c>
      <c r="E52" s="25">
        <v>22627</v>
      </c>
      <c r="F52" s="25">
        <v>22552</v>
      </c>
      <c r="G52" s="25">
        <v>44836</v>
      </c>
      <c r="H52" s="21">
        <f>203117-I52-J52-K52</f>
        <v>73794</v>
      </c>
      <c r="I52" s="25">
        <v>43425</v>
      </c>
      <c r="J52" s="25">
        <f>85898-K52</f>
        <v>46044</v>
      </c>
      <c r="K52" s="22">
        <v>39854</v>
      </c>
      <c r="L52" s="21">
        <v>36855</v>
      </c>
      <c r="M52" s="25">
        <v>30001</v>
      </c>
      <c r="N52" s="25">
        <v>23123</v>
      </c>
      <c r="O52" s="22">
        <v>27780</v>
      </c>
      <c r="P52" s="21">
        <v>23081</v>
      </c>
      <c r="Q52" s="25">
        <v>17870</v>
      </c>
      <c r="R52" s="25">
        <v>7491</v>
      </c>
      <c r="S52" s="22">
        <v>193</v>
      </c>
      <c r="T52" s="21">
        <f>5212-U52</f>
        <v>4752</v>
      </c>
      <c r="U52" s="25">
        <v>460</v>
      </c>
      <c r="V52" s="25">
        <v>0</v>
      </c>
      <c r="W52" s="22">
        <v>0</v>
      </c>
      <c r="X52" s="21">
        <v>0</v>
      </c>
      <c r="Y52" s="25">
        <v>0</v>
      </c>
      <c r="Z52" s="25">
        <v>0</v>
      </c>
      <c r="AA52" s="22">
        <v>0</v>
      </c>
      <c r="AB52" s="21">
        <v>0</v>
      </c>
      <c r="AC52" s="25">
        <v>0</v>
      </c>
      <c r="AD52" s="25">
        <v>0</v>
      </c>
      <c r="AE52" s="22">
        <v>0</v>
      </c>
      <c r="AF52" s="21">
        <v>0</v>
      </c>
      <c r="AG52" s="25">
        <v>0</v>
      </c>
      <c r="AH52" s="25">
        <v>0</v>
      </c>
      <c r="AI52" s="22">
        <v>0</v>
      </c>
      <c r="AJ52" s="21">
        <v>0</v>
      </c>
      <c r="AK52" s="25">
        <v>0</v>
      </c>
      <c r="AL52" s="25">
        <v>0</v>
      </c>
      <c r="AM52" s="22">
        <v>0</v>
      </c>
      <c r="AN52" s="21">
        <v>0</v>
      </c>
      <c r="AO52" s="25">
        <v>0</v>
      </c>
      <c r="AP52" s="25">
        <v>0</v>
      </c>
      <c r="AQ52" s="22">
        <v>0</v>
      </c>
    </row>
    <row r="53" spans="2:44" s="26" customFormat="1">
      <c r="B53" s="19" t="s">
        <v>135</v>
      </c>
      <c r="C53" s="97">
        <v>4</v>
      </c>
      <c r="D53" s="25">
        <v>5</v>
      </c>
      <c r="E53" s="25">
        <v>-1</v>
      </c>
      <c r="F53" s="25">
        <v>-181</v>
      </c>
      <c r="G53" s="25">
        <v>181</v>
      </c>
      <c r="H53" s="21">
        <v>0</v>
      </c>
      <c r="I53" s="25">
        <v>0</v>
      </c>
      <c r="J53" s="25">
        <v>1</v>
      </c>
      <c r="K53" s="22">
        <v>7</v>
      </c>
      <c r="L53" s="21">
        <v>0</v>
      </c>
      <c r="M53" s="25">
        <v>0</v>
      </c>
      <c r="N53" s="25">
        <v>0</v>
      </c>
      <c r="O53" s="22">
        <v>0</v>
      </c>
      <c r="P53" s="21">
        <v>0</v>
      </c>
      <c r="Q53" s="25">
        <v>0</v>
      </c>
      <c r="R53" s="25">
        <v>0</v>
      </c>
      <c r="S53" s="22">
        <v>0</v>
      </c>
      <c r="T53" s="21">
        <v>0</v>
      </c>
      <c r="U53" s="25">
        <v>0</v>
      </c>
      <c r="V53" s="25">
        <v>0</v>
      </c>
      <c r="W53" s="22">
        <v>0</v>
      </c>
      <c r="X53" s="21">
        <v>0</v>
      </c>
      <c r="Y53" s="25">
        <v>0</v>
      </c>
      <c r="Z53" s="25">
        <v>0</v>
      </c>
      <c r="AA53" s="22">
        <v>0</v>
      </c>
      <c r="AB53" s="21">
        <v>0</v>
      </c>
      <c r="AC53" s="25">
        <v>0</v>
      </c>
      <c r="AD53" s="25">
        <v>0</v>
      </c>
      <c r="AE53" s="22">
        <v>0</v>
      </c>
      <c r="AF53" s="21">
        <v>0</v>
      </c>
      <c r="AG53" s="25">
        <v>0</v>
      </c>
      <c r="AH53" s="25">
        <v>0</v>
      </c>
      <c r="AI53" s="22">
        <v>0</v>
      </c>
      <c r="AJ53" s="21">
        <v>0</v>
      </c>
      <c r="AK53" s="25">
        <v>0</v>
      </c>
      <c r="AL53" s="25">
        <v>0</v>
      </c>
      <c r="AM53" s="22">
        <v>0</v>
      </c>
      <c r="AN53" s="21">
        <v>0</v>
      </c>
      <c r="AO53" s="25">
        <v>0</v>
      </c>
      <c r="AP53" s="25">
        <v>0</v>
      </c>
      <c r="AQ53" s="22">
        <v>0</v>
      </c>
    </row>
    <row r="54" spans="2:44" s="26" customFormat="1" ht="15" customHeight="1">
      <c r="B54" s="34" t="s">
        <v>131</v>
      </c>
      <c r="C54" s="37">
        <f>SUM(C48,C50:C53)</f>
        <v>1094018</v>
      </c>
      <c r="D54" s="37">
        <f>SUM(D48,D50:D53)</f>
        <v>609344</v>
      </c>
      <c r="E54" s="37">
        <f>SUM(E48,E50:E53)</f>
        <v>375821</v>
      </c>
      <c r="F54" s="37">
        <f>SUM(F48,F50:F53)</f>
        <v>580597</v>
      </c>
      <c r="G54" s="37">
        <f>SUM(G48,G50:G53)</f>
        <v>580294</v>
      </c>
      <c r="H54" s="36">
        <f t="shared" ref="H54:AQ54" si="82">SUM(H48,H50:H53)</f>
        <v>465416</v>
      </c>
      <c r="I54" s="37">
        <f t="shared" si="82"/>
        <v>470234</v>
      </c>
      <c r="J54" s="37">
        <f t="shared" si="82"/>
        <v>381838</v>
      </c>
      <c r="K54" s="38">
        <f t="shared" si="82"/>
        <v>555948</v>
      </c>
      <c r="L54" s="36">
        <f t="shared" si="82"/>
        <v>506710</v>
      </c>
      <c r="M54" s="37">
        <f t="shared" si="82"/>
        <v>280988</v>
      </c>
      <c r="N54" s="37">
        <f t="shared" si="82"/>
        <v>293134</v>
      </c>
      <c r="O54" s="38">
        <f t="shared" si="82"/>
        <v>537553</v>
      </c>
      <c r="P54" s="36">
        <f t="shared" si="82"/>
        <v>221924</v>
      </c>
      <c r="Q54" s="37">
        <f t="shared" si="82"/>
        <v>393659</v>
      </c>
      <c r="R54" s="37">
        <f t="shared" si="82"/>
        <v>396566</v>
      </c>
      <c r="S54" s="38">
        <f t="shared" si="82"/>
        <v>439805</v>
      </c>
      <c r="T54" s="36">
        <f t="shared" si="82"/>
        <v>183567</v>
      </c>
      <c r="U54" s="37">
        <f t="shared" si="82"/>
        <v>200029</v>
      </c>
      <c r="V54" s="37">
        <f t="shared" si="82"/>
        <v>55302</v>
      </c>
      <c r="W54" s="38">
        <f t="shared" si="82"/>
        <v>186697</v>
      </c>
      <c r="X54" s="36">
        <f t="shared" si="82"/>
        <v>139962</v>
      </c>
      <c r="Y54" s="37">
        <f t="shared" si="82"/>
        <v>139630</v>
      </c>
      <c r="Z54" s="37">
        <f t="shared" si="82"/>
        <v>211494</v>
      </c>
      <c r="AA54" s="38">
        <f t="shared" si="82"/>
        <v>306664</v>
      </c>
      <c r="AB54" s="36">
        <f t="shared" si="82"/>
        <v>89571</v>
      </c>
      <c r="AC54" s="37">
        <f t="shared" si="82"/>
        <v>60952</v>
      </c>
      <c r="AD54" s="37">
        <f t="shared" si="82"/>
        <v>47891</v>
      </c>
      <c r="AE54" s="38">
        <f t="shared" si="82"/>
        <v>40890</v>
      </c>
      <c r="AF54" s="36">
        <f t="shared" si="82"/>
        <v>42786</v>
      </c>
      <c r="AG54" s="37">
        <f t="shared" si="82"/>
        <v>47578</v>
      </c>
      <c r="AH54" s="37">
        <f t="shared" si="82"/>
        <v>84200</v>
      </c>
      <c r="AI54" s="38">
        <f t="shared" si="82"/>
        <v>113737</v>
      </c>
      <c r="AJ54" s="36">
        <f t="shared" si="82"/>
        <v>75460</v>
      </c>
      <c r="AK54" s="37">
        <f t="shared" si="82"/>
        <v>73063</v>
      </c>
      <c r="AL54" s="37">
        <f t="shared" si="82"/>
        <v>66526</v>
      </c>
      <c r="AM54" s="38">
        <f t="shared" si="82"/>
        <v>58718</v>
      </c>
      <c r="AN54" s="36">
        <f t="shared" si="82"/>
        <v>93959</v>
      </c>
      <c r="AO54" s="37">
        <f t="shared" si="82"/>
        <v>42802</v>
      </c>
      <c r="AP54" s="37">
        <f t="shared" si="82"/>
        <v>31050</v>
      </c>
      <c r="AQ54" s="38">
        <f t="shared" si="82"/>
        <v>82765</v>
      </c>
      <c r="AR54" s="39"/>
    </row>
    <row r="55" spans="2:44" s="26" customFormat="1" ht="6.75" customHeight="1">
      <c r="B55" s="67"/>
      <c r="C55" s="67"/>
      <c r="D55" s="67"/>
      <c r="E55" s="67"/>
      <c r="F55" s="6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39"/>
    </row>
    <row r="56" spans="2:44" s="26" customFormat="1">
      <c r="B56" s="81" t="s">
        <v>160</v>
      </c>
      <c r="C56" s="81"/>
      <c r="D56" s="81"/>
      <c r="E56" s="81"/>
      <c r="F56" s="81"/>
      <c r="G56" s="3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</row>
    <row r="57" spans="2:44" s="26" customFormat="1">
      <c r="B57" s="81" t="s">
        <v>161</v>
      </c>
      <c r="C57" s="81"/>
      <c r="D57" s="81"/>
      <c r="E57" s="81"/>
      <c r="F57" s="81"/>
      <c r="G57" s="39"/>
      <c r="H57" s="39"/>
    </row>
    <row r="58" spans="2:44" s="26" customFormat="1">
      <c r="G58" s="39"/>
      <c r="H58" s="39"/>
    </row>
    <row r="59" spans="2:44" s="26" customFormat="1">
      <c r="G59" s="39"/>
      <c r="H59" s="39"/>
    </row>
    <row r="60" spans="2:44" s="26" customFormat="1">
      <c r="F60" s="39"/>
      <c r="G60" s="39"/>
      <c r="H60" s="39"/>
    </row>
    <row r="61" spans="2:44" s="26" customFormat="1">
      <c r="G61" s="39"/>
      <c r="H61" s="39"/>
    </row>
    <row r="62" spans="2:44" s="26" customFormat="1">
      <c r="G62" s="39"/>
      <c r="H62" s="39"/>
    </row>
    <row r="63" spans="2:44" s="26" customFormat="1">
      <c r="G63" s="39"/>
      <c r="H63" s="39"/>
    </row>
    <row r="64" spans="2:44" s="26" customFormat="1">
      <c r="G64" s="39"/>
      <c r="H64" s="39"/>
    </row>
    <row r="65" spans="7:8" s="26" customFormat="1">
      <c r="G65" s="39"/>
      <c r="H65" s="39"/>
    </row>
    <row r="66" spans="7:8" s="26" customFormat="1">
      <c r="G66" s="39"/>
      <c r="H66" s="39"/>
    </row>
    <row r="67" spans="7:8" s="26" customFormat="1">
      <c r="G67" s="39"/>
      <c r="H67" s="39"/>
    </row>
    <row r="68" spans="7:8" s="26" customFormat="1">
      <c r="G68" s="39"/>
      <c r="H68" s="39"/>
    </row>
    <row r="69" spans="7:8" s="26" customFormat="1">
      <c r="G69" s="39"/>
      <c r="H69" s="39"/>
    </row>
    <row r="70" spans="7:8" s="26" customFormat="1">
      <c r="G70" s="39"/>
      <c r="H70" s="39"/>
    </row>
    <row r="71" spans="7:8" s="26" customFormat="1">
      <c r="G71" s="39"/>
      <c r="H71" s="39"/>
    </row>
    <row r="72" spans="7:8" s="26" customFormat="1">
      <c r="G72" s="39"/>
      <c r="H72" s="39"/>
    </row>
    <row r="73" spans="7:8" s="26" customFormat="1">
      <c r="G73" s="39"/>
      <c r="H73" s="39"/>
    </row>
    <row r="74" spans="7:8" s="26" customFormat="1">
      <c r="G74" s="39"/>
      <c r="H74" s="39"/>
    </row>
    <row r="75" spans="7:8" s="26" customFormat="1">
      <c r="G75" s="39"/>
      <c r="H75" s="39"/>
    </row>
    <row r="76" spans="7:8" s="26" customFormat="1">
      <c r="G76" s="39"/>
      <c r="H76" s="39"/>
    </row>
    <row r="77" spans="7:8" s="26" customFormat="1">
      <c r="G77" s="39"/>
      <c r="H77" s="39"/>
    </row>
    <row r="78" spans="7:8" s="26" customFormat="1">
      <c r="G78" s="39"/>
      <c r="H78" s="39"/>
    </row>
    <row r="79" spans="7:8" s="26" customFormat="1">
      <c r="G79" s="39"/>
      <c r="H79" s="39"/>
    </row>
    <row r="80" spans="7:8" s="26" customFormat="1">
      <c r="G80" s="39"/>
      <c r="H80" s="39"/>
    </row>
    <row r="81" spans="7:8" s="26" customFormat="1">
      <c r="G81" s="39"/>
      <c r="H81" s="39"/>
    </row>
    <row r="82" spans="7:8" s="26" customFormat="1">
      <c r="G82" s="39"/>
      <c r="H82" s="39"/>
    </row>
    <row r="83" spans="7:8" s="26" customFormat="1">
      <c r="G83" s="39"/>
      <c r="H83" s="39"/>
    </row>
    <row r="84" spans="7:8" s="26" customFormat="1">
      <c r="G84" s="39"/>
      <c r="H84" s="39"/>
    </row>
    <row r="85" spans="7:8" s="26" customFormat="1">
      <c r="G85" s="39"/>
      <c r="H85" s="39"/>
    </row>
    <row r="86" spans="7:8" s="26" customFormat="1">
      <c r="G86" s="39"/>
      <c r="H86" s="39"/>
    </row>
    <row r="87" spans="7:8" s="26" customFormat="1">
      <c r="G87" s="39"/>
      <c r="H87" s="39"/>
    </row>
    <row r="88" spans="7:8" s="26" customFormat="1">
      <c r="G88" s="39"/>
      <c r="H88" s="39"/>
    </row>
    <row r="89" spans="7:8" s="26" customFormat="1">
      <c r="G89" s="39"/>
      <c r="H89" s="39"/>
    </row>
    <row r="90" spans="7:8" s="26" customFormat="1">
      <c r="G90" s="39"/>
      <c r="H90" s="39"/>
    </row>
    <row r="91" spans="7:8" s="26" customFormat="1">
      <c r="G91" s="39"/>
      <c r="H91" s="39"/>
    </row>
    <row r="92" spans="7:8" s="26" customFormat="1">
      <c r="G92" s="39"/>
      <c r="H92" s="39"/>
    </row>
    <row r="93" spans="7:8" s="26" customFormat="1">
      <c r="G93" s="39"/>
      <c r="H93" s="39"/>
    </row>
    <row r="94" spans="7:8" s="26" customFormat="1">
      <c r="G94" s="39"/>
      <c r="H94" s="39"/>
    </row>
    <row r="95" spans="7:8" s="26" customFormat="1">
      <c r="G95" s="39"/>
      <c r="H95" s="39"/>
    </row>
    <row r="96" spans="7:8" s="26" customFormat="1">
      <c r="G96" s="39"/>
      <c r="H96" s="39"/>
    </row>
    <row r="97" spans="7:8" s="26" customFormat="1">
      <c r="G97" s="39"/>
      <c r="H97" s="39"/>
    </row>
    <row r="98" spans="7:8" s="26" customFormat="1">
      <c r="G98" s="39"/>
      <c r="H98" s="39"/>
    </row>
    <row r="99" spans="7:8" s="26" customFormat="1">
      <c r="G99" s="39"/>
      <c r="H99" s="39"/>
    </row>
    <row r="100" spans="7:8" s="26" customFormat="1">
      <c r="G100" s="39"/>
      <c r="H100" s="39"/>
    </row>
    <row r="101" spans="7:8" s="26" customFormat="1">
      <c r="G101" s="39"/>
      <c r="H101" s="39"/>
    </row>
    <row r="102" spans="7:8" s="26" customFormat="1">
      <c r="G102" s="39"/>
      <c r="H102" s="39"/>
    </row>
    <row r="103" spans="7:8" s="26" customFormat="1">
      <c r="G103" s="39"/>
      <c r="H103" s="39"/>
    </row>
    <row r="104" spans="7:8" s="26" customFormat="1">
      <c r="G104" s="39"/>
      <c r="H104" s="39"/>
    </row>
    <row r="105" spans="7:8" s="26" customFormat="1">
      <c r="G105" s="39"/>
      <c r="H105" s="39"/>
    </row>
    <row r="106" spans="7:8" s="26" customFormat="1">
      <c r="G106" s="39"/>
      <c r="H106" s="39"/>
    </row>
    <row r="107" spans="7:8" s="26" customFormat="1">
      <c r="G107" s="39"/>
      <c r="H107" s="39"/>
    </row>
    <row r="108" spans="7:8" s="26" customFormat="1">
      <c r="G108" s="39"/>
      <c r="H108" s="39"/>
    </row>
    <row r="109" spans="7:8" s="26" customFormat="1">
      <c r="G109" s="39"/>
      <c r="H109" s="39"/>
    </row>
    <row r="110" spans="7:8" s="26" customFormat="1">
      <c r="G110" s="39"/>
      <c r="H110" s="39"/>
    </row>
    <row r="111" spans="7:8" s="26" customFormat="1">
      <c r="G111" s="39"/>
      <c r="H111" s="39"/>
    </row>
    <row r="112" spans="7:8" s="26" customFormat="1">
      <c r="G112" s="39"/>
      <c r="H112" s="39"/>
    </row>
    <row r="113" spans="7:8" s="26" customFormat="1">
      <c r="G113" s="39"/>
      <c r="H113" s="39"/>
    </row>
    <row r="114" spans="7:8" s="26" customFormat="1">
      <c r="G114" s="39"/>
      <c r="H114" s="39"/>
    </row>
    <row r="115" spans="7:8" s="26" customFormat="1">
      <c r="G115" s="39"/>
      <c r="H115" s="39"/>
    </row>
    <row r="116" spans="7:8" s="26" customFormat="1">
      <c r="G116" s="39"/>
      <c r="H116" s="39"/>
    </row>
    <row r="117" spans="7:8" s="26" customFormat="1">
      <c r="G117" s="39"/>
      <c r="H117" s="39"/>
    </row>
    <row r="118" spans="7:8" s="26" customFormat="1">
      <c r="G118" s="39"/>
      <c r="H118" s="39"/>
    </row>
    <row r="119" spans="7:8" s="26" customFormat="1">
      <c r="G119" s="39"/>
      <c r="H119" s="39"/>
    </row>
    <row r="120" spans="7:8" s="26" customFormat="1">
      <c r="G120" s="39"/>
      <c r="H120" s="39"/>
    </row>
    <row r="121" spans="7:8" s="26" customFormat="1">
      <c r="G121" s="39"/>
      <c r="H121" s="39"/>
    </row>
    <row r="122" spans="7:8" s="26" customFormat="1">
      <c r="G122" s="39"/>
      <c r="H122" s="39"/>
    </row>
    <row r="123" spans="7:8" s="26" customFormat="1">
      <c r="G123" s="39"/>
      <c r="H123" s="39"/>
    </row>
    <row r="124" spans="7:8" s="26" customFormat="1">
      <c r="G124" s="39"/>
      <c r="H124" s="39"/>
    </row>
    <row r="125" spans="7:8" s="26" customFormat="1">
      <c r="G125" s="39"/>
      <c r="H125" s="39"/>
    </row>
    <row r="126" spans="7:8" s="26" customFormat="1">
      <c r="G126" s="39"/>
      <c r="H126" s="39"/>
    </row>
    <row r="127" spans="7:8" s="26" customFormat="1">
      <c r="G127" s="39"/>
      <c r="H127" s="39"/>
    </row>
    <row r="128" spans="7:8" s="26" customFormat="1">
      <c r="G128" s="39"/>
      <c r="H128" s="39"/>
    </row>
    <row r="129" spans="7:8" s="26" customFormat="1">
      <c r="G129" s="39"/>
      <c r="H129" s="39"/>
    </row>
    <row r="130" spans="7:8" s="26" customFormat="1">
      <c r="G130" s="39"/>
      <c r="H130" s="39"/>
    </row>
    <row r="131" spans="7:8" s="26" customFormat="1">
      <c r="G131" s="39"/>
      <c r="H131" s="39"/>
    </row>
    <row r="132" spans="7:8" s="26" customFormat="1">
      <c r="G132" s="39"/>
      <c r="H132" s="39"/>
    </row>
    <row r="133" spans="7:8" s="26" customFormat="1">
      <c r="G133" s="39"/>
      <c r="H133" s="39"/>
    </row>
    <row r="134" spans="7:8" s="26" customFormat="1">
      <c r="G134" s="39"/>
      <c r="H134" s="39"/>
    </row>
    <row r="135" spans="7:8" s="26" customFormat="1">
      <c r="G135" s="39"/>
      <c r="H135" s="39"/>
    </row>
    <row r="136" spans="7:8" s="26" customFormat="1">
      <c r="G136" s="39"/>
      <c r="H136" s="39"/>
    </row>
    <row r="137" spans="7:8" s="26" customFormat="1">
      <c r="G137" s="39"/>
      <c r="H137" s="39"/>
    </row>
    <row r="138" spans="7:8" s="26" customFormat="1">
      <c r="G138" s="39"/>
      <c r="H138" s="39"/>
    </row>
    <row r="139" spans="7:8" s="26" customFormat="1">
      <c r="G139" s="39"/>
      <c r="H139" s="39"/>
    </row>
    <row r="140" spans="7:8" s="26" customFormat="1">
      <c r="G140" s="39"/>
      <c r="H140" s="39"/>
    </row>
    <row r="141" spans="7:8" s="26" customFormat="1">
      <c r="G141" s="39"/>
      <c r="H141" s="39"/>
    </row>
    <row r="142" spans="7:8" s="26" customFormat="1">
      <c r="G142" s="39"/>
      <c r="H142" s="39"/>
    </row>
    <row r="143" spans="7:8" s="26" customFormat="1">
      <c r="G143" s="39"/>
      <c r="H143" s="39"/>
    </row>
    <row r="144" spans="7:8" s="26" customFormat="1">
      <c r="G144" s="39"/>
      <c r="H144" s="39"/>
    </row>
    <row r="145" spans="7:8" s="26" customFormat="1">
      <c r="G145" s="39"/>
      <c r="H145" s="39"/>
    </row>
    <row r="146" spans="7:8" s="26" customFormat="1">
      <c r="G146" s="39"/>
      <c r="H146" s="39"/>
    </row>
    <row r="147" spans="7:8" s="26" customFormat="1">
      <c r="G147" s="39"/>
      <c r="H147" s="39"/>
    </row>
    <row r="148" spans="7:8" s="26" customFormat="1">
      <c r="G148" s="39"/>
      <c r="H148" s="39"/>
    </row>
    <row r="149" spans="7:8" s="26" customFormat="1">
      <c r="G149" s="39"/>
      <c r="H149" s="39"/>
    </row>
    <row r="150" spans="7:8" s="26" customFormat="1">
      <c r="G150" s="39"/>
      <c r="H150" s="39"/>
    </row>
    <row r="151" spans="7:8" s="26" customFormat="1">
      <c r="G151" s="39"/>
      <c r="H151" s="39"/>
    </row>
    <row r="152" spans="7:8" s="26" customFormat="1">
      <c r="G152" s="39"/>
      <c r="H152" s="39"/>
    </row>
    <row r="153" spans="7:8" s="26" customFormat="1">
      <c r="G153" s="39"/>
      <c r="H153" s="39"/>
    </row>
    <row r="154" spans="7:8" s="26" customFormat="1">
      <c r="G154" s="39"/>
      <c r="H154" s="39"/>
    </row>
    <row r="155" spans="7:8" s="26" customFormat="1">
      <c r="G155" s="39"/>
      <c r="H155" s="39"/>
    </row>
    <row r="156" spans="7:8" s="26" customFormat="1">
      <c r="G156" s="39"/>
      <c r="H156" s="39"/>
    </row>
    <row r="157" spans="7:8" s="26" customFormat="1">
      <c r="G157" s="39"/>
      <c r="H157" s="39"/>
    </row>
    <row r="158" spans="7:8" s="26" customFormat="1">
      <c r="G158" s="39"/>
      <c r="H158" s="39"/>
    </row>
    <row r="159" spans="7:8" s="26" customFormat="1">
      <c r="G159" s="39"/>
      <c r="H159" s="39"/>
    </row>
    <row r="160" spans="7:8" s="26" customFormat="1">
      <c r="G160" s="39"/>
      <c r="H160" s="39"/>
    </row>
    <row r="161" spans="7:8" s="26" customFormat="1">
      <c r="G161" s="39"/>
      <c r="H161" s="39"/>
    </row>
    <row r="162" spans="7:8" s="26" customFormat="1">
      <c r="G162" s="39"/>
      <c r="H162" s="39"/>
    </row>
    <row r="163" spans="7:8" s="26" customFormat="1">
      <c r="G163" s="39"/>
      <c r="H163" s="39"/>
    </row>
    <row r="164" spans="7:8" s="26" customFormat="1">
      <c r="G164" s="39"/>
      <c r="H164" s="39"/>
    </row>
    <row r="165" spans="7:8" s="26" customFormat="1">
      <c r="G165" s="39"/>
      <c r="H165" s="39"/>
    </row>
    <row r="166" spans="7:8" s="26" customFormat="1">
      <c r="G166" s="39"/>
      <c r="H166" s="39"/>
    </row>
    <row r="167" spans="7:8" s="26" customFormat="1">
      <c r="G167" s="39"/>
      <c r="H167" s="39"/>
    </row>
    <row r="168" spans="7:8" s="26" customFormat="1">
      <c r="G168" s="39"/>
      <c r="H168" s="39"/>
    </row>
    <row r="169" spans="7:8" s="26" customFormat="1">
      <c r="G169" s="39"/>
      <c r="H169" s="39"/>
    </row>
    <row r="170" spans="7:8" s="26" customFormat="1">
      <c r="G170" s="39"/>
      <c r="H170" s="39"/>
    </row>
    <row r="171" spans="7:8" s="26" customFormat="1">
      <c r="G171" s="39"/>
      <c r="H171" s="39"/>
    </row>
    <row r="172" spans="7:8" s="26" customFormat="1">
      <c r="G172" s="39"/>
      <c r="H172" s="39"/>
    </row>
    <row r="173" spans="7:8" s="26" customFormat="1">
      <c r="G173" s="39"/>
      <c r="H173" s="39"/>
    </row>
    <row r="174" spans="7:8" s="26" customFormat="1">
      <c r="G174" s="39"/>
      <c r="H174" s="39"/>
    </row>
    <row r="175" spans="7:8" s="26" customFormat="1">
      <c r="G175" s="39"/>
      <c r="H175" s="39"/>
    </row>
    <row r="176" spans="7:8" s="26" customFormat="1">
      <c r="G176" s="39"/>
      <c r="H176" s="39"/>
    </row>
    <row r="177" spans="7:8" s="26" customFormat="1">
      <c r="G177" s="39"/>
      <c r="H177" s="39"/>
    </row>
    <row r="178" spans="7:8" s="26" customFormat="1">
      <c r="G178" s="39"/>
      <c r="H178" s="39"/>
    </row>
    <row r="179" spans="7:8" s="26" customFormat="1">
      <c r="G179" s="39"/>
      <c r="H179" s="39"/>
    </row>
    <row r="180" spans="7:8" s="26" customFormat="1">
      <c r="G180" s="39"/>
      <c r="H180" s="39"/>
    </row>
    <row r="181" spans="7:8" s="26" customFormat="1">
      <c r="G181" s="39"/>
      <c r="H181" s="39"/>
    </row>
    <row r="182" spans="7:8" s="26" customFormat="1">
      <c r="G182" s="39"/>
      <c r="H182" s="39"/>
    </row>
    <row r="183" spans="7:8" s="26" customFormat="1">
      <c r="G183" s="39"/>
      <c r="H183" s="39"/>
    </row>
    <row r="184" spans="7:8" s="26" customFormat="1">
      <c r="G184" s="39"/>
      <c r="H184" s="39"/>
    </row>
    <row r="185" spans="7:8" s="26" customFormat="1">
      <c r="G185" s="39"/>
      <c r="H185" s="39"/>
    </row>
    <row r="186" spans="7:8" s="26" customFormat="1">
      <c r="G186" s="39"/>
      <c r="H186" s="39"/>
    </row>
    <row r="187" spans="7:8" s="26" customFormat="1">
      <c r="G187" s="39"/>
      <c r="H187" s="39"/>
    </row>
    <row r="188" spans="7:8" s="26" customFormat="1">
      <c r="G188" s="39"/>
      <c r="H188" s="39"/>
    </row>
    <row r="189" spans="7:8" s="26" customFormat="1">
      <c r="G189" s="39"/>
      <c r="H189" s="39"/>
    </row>
    <row r="190" spans="7:8" s="26" customFormat="1"/>
    <row r="191" spans="7:8" s="26" customFormat="1"/>
    <row r="192" spans="7:8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</sheetData>
  <mergeCells count="5">
    <mergeCell ref="B4:B5"/>
    <mergeCell ref="B1:AQ2"/>
    <mergeCell ref="H4:AQ4"/>
    <mergeCell ref="B46:B47"/>
    <mergeCell ref="H46:AQ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ignoredErrors>
    <ignoredError sqref="F16 D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067C-F0F1-4AA7-B957-98FA7FA1C141}">
  <sheetPr>
    <pageSetUpPr fitToPage="1"/>
  </sheetPr>
  <dimension ref="A1:AHB5696"/>
  <sheetViews>
    <sheetView zoomScaleNormal="100" workbookViewId="0">
      <pane xSplit="2" ySplit="5" topLeftCell="C19" activePane="bottomRight" state="frozen"/>
      <selection pane="topRight" activeCell="C1" sqref="C1"/>
      <selection pane="bottomLeft" activeCell="A6" sqref="A6"/>
      <selection pane="bottomRight" activeCell="C29" sqref="C29"/>
    </sheetView>
  </sheetViews>
  <sheetFormatPr defaultColWidth="8.7265625" defaultRowHeight="14"/>
  <cols>
    <col min="1" max="1" width="1.1796875" style="26" customWidth="1"/>
    <col min="2" max="2" width="71" style="66" customWidth="1"/>
    <col min="3" max="3" width="13.453125" style="66" customWidth="1"/>
    <col min="4" max="5" width="12.81640625" style="66" customWidth="1"/>
    <col min="6" max="19" width="12.1796875" style="66" customWidth="1"/>
    <col min="20" max="20" width="12.453125" style="66" customWidth="1"/>
    <col min="21" max="22" width="12.1796875" style="66" customWidth="1"/>
    <col min="23" max="43" width="12.453125" style="66" customWidth="1"/>
    <col min="44" max="886" width="9.1796875" style="26" customWidth="1"/>
    <col min="887" max="16384" width="8.7265625" style="66"/>
  </cols>
  <sheetData>
    <row r="1" spans="2:43" s="26" customFormat="1" ht="16.5" customHeight="1">
      <c r="B1" s="117" t="s">
        <v>117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</row>
    <row r="2" spans="2:43" s="26" customFormat="1" ht="16.5" customHeight="1"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</row>
    <row r="3" spans="2:43" s="26" customFormat="1"/>
    <row r="4" spans="2:43">
      <c r="B4" s="115" t="s">
        <v>65</v>
      </c>
      <c r="C4" s="5"/>
      <c r="D4" s="5"/>
      <c r="E4" s="5"/>
      <c r="F4" s="5"/>
      <c r="G4" s="5"/>
      <c r="H4" s="11"/>
      <c r="I4" s="5"/>
      <c r="J4" s="5"/>
      <c r="K4" s="12"/>
      <c r="L4" s="11"/>
      <c r="M4" s="5"/>
      <c r="N4" s="5"/>
      <c r="O4" s="12"/>
      <c r="P4" s="11"/>
      <c r="Q4" s="5"/>
      <c r="R4" s="5"/>
      <c r="S4" s="12"/>
      <c r="T4" s="11"/>
      <c r="U4" s="5"/>
      <c r="V4" s="5"/>
      <c r="W4" s="12"/>
      <c r="X4" s="11"/>
      <c r="Y4" s="5"/>
      <c r="Z4" s="5"/>
      <c r="AA4" s="12"/>
      <c r="AB4" s="11"/>
      <c r="AC4" s="5"/>
      <c r="AD4" s="5"/>
      <c r="AE4" s="12"/>
      <c r="AF4" s="11"/>
      <c r="AG4" s="5"/>
      <c r="AH4" s="5"/>
      <c r="AI4" s="12"/>
      <c r="AJ4" s="11"/>
      <c r="AK4" s="5"/>
      <c r="AL4" s="5"/>
      <c r="AM4" s="12"/>
      <c r="AN4" s="11"/>
      <c r="AO4" s="5"/>
      <c r="AP4" s="5"/>
      <c r="AQ4" s="12"/>
    </row>
    <row r="5" spans="2:43" s="26" customFormat="1">
      <c r="B5" s="116"/>
      <c r="C5" s="10">
        <v>46112</v>
      </c>
      <c r="D5" s="10">
        <v>46022</v>
      </c>
      <c r="E5" s="10">
        <v>45930</v>
      </c>
      <c r="F5" s="10">
        <v>45838</v>
      </c>
      <c r="G5" s="10">
        <v>45747</v>
      </c>
      <c r="H5" s="13">
        <v>45657</v>
      </c>
      <c r="I5" s="10">
        <v>45565</v>
      </c>
      <c r="J5" s="10">
        <v>45473</v>
      </c>
      <c r="K5" s="14">
        <v>45382</v>
      </c>
      <c r="L5" s="13">
        <v>45291</v>
      </c>
      <c r="M5" s="10">
        <v>45199</v>
      </c>
      <c r="N5" s="10">
        <v>45107</v>
      </c>
      <c r="O5" s="14">
        <v>45016</v>
      </c>
      <c r="P5" s="13">
        <v>44926</v>
      </c>
      <c r="Q5" s="10">
        <v>44834</v>
      </c>
      <c r="R5" s="10">
        <v>44742</v>
      </c>
      <c r="S5" s="14">
        <v>44651</v>
      </c>
      <c r="T5" s="13">
        <v>44561</v>
      </c>
      <c r="U5" s="10">
        <v>44469</v>
      </c>
      <c r="V5" s="10">
        <v>44377</v>
      </c>
      <c r="W5" s="14">
        <v>44286</v>
      </c>
      <c r="X5" s="13">
        <v>44196</v>
      </c>
      <c r="Y5" s="10">
        <v>44104</v>
      </c>
      <c r="Z5" s="10">
        <v>44012</v>
      </c>
      <c r="AA5" s="14">
        <v>43921</v>
      </c>
      <c r="AB5" s="13">
        <v>43830</v>
      </c>
      <c r="AC5" s="10">
        <v>43738</v>
      </c>
      <c r="AD5" s="10">
        <v>43646</v>
      </c>
      <c r="AE5" s="14">
        <v>43555</v>
      </c>
      <c r="AF5" s="13">
        <v>43465</v>
      </c>
      <c r="AG5" s="10">
        <v>43373</v>
      </c>
      <c r="AH5" s="10">
        <v>43281</v>
      </c>
      <c r="AI5" s="14">
        <v>43190</v>
      </c>
      <c r="AJ5" s="13">
        <v>43100</v>
      </c>
      <c r="AK5" s="10">
        <v>43008</v>
      </c>
      <c r="AL5" s="10">
        <v>42916</v>
      </c>
      <c r="AM5" s="14">
        <v>42825</v>
      </c>
      <c r="AN5" s="13" t="s">
        <v>63</v>
      </c>
      <c r="AO5" s="10">
        <v>42643</v>
      </c>
      <c r="AP5" s="10">
        <v>42551</v>
      </c>
      <c r="AQ5" s="14">
        <v>42460</v>
      </c>
    </row>
    <row r="6" spans="2:43" s="26" customFormat="1">
      <c r="B6" s="67" t="s">
        <v>24</v>
      </c>
      <c r="C6" s="98"/>
      <c r="D6" s="67"/>
      <c r="E6" s="40"/>
      <c r="F6" s="40"/>
      <c r="G6" s="40"/>
      <c r="H6" s="21"/>
      <c r="I6" s="25"/>
      <c r="J6" s="25"/>
      <c r="K6" s="22"/>
      <c r="L6" s="21"/>
      <c r="M6" s="25"/>
      <c r="N6" s="25"/>
      <c r="O6" s="22"/>
      <c r="P6" s="21"/>
      <c r="Q6" s="25"/>
      <c r="R6" s="25"/>
      <c r="S6" s="22"/>
      <c r="T6" s="21"/>
      <c r="U6" s="25"/>
      <c r="V6" s="25"/>
      <c r="W6" s="22"/>
      <c r="X6" s="21"/>
      <c r="Y6" s="25"/>
      <c r="Z6" s="25"/>
      <c r="AA6" s="22"/>
      <c r="AB6" s="21"/>
      <c r="AC6" s="25"/>
      <c r="AD6" s="25"/>
      <c r="AE6" s="22"/>
      <c r="AF6" s="21"/>
      <c r="AG6" s="25"/>
      <c r="AH6" s="25"/>
      <c r="AI6" s="22"/>
      <c r="AJ6" s="21"/>
      <c r="AK6" s="25"/>
      <c r="AL6" s="25"/>
      <c r="AM6" s="22"/>
      <c r="AN6" s="21"/>
      <c r="AO6" s="25"/>
      <c r="AP6" s="25"/>
      <c r="AQ6" s="22"/>
    </row>
    <row r="7" spans="2:43" s="26" customFormat="1" ht="7.5" customHeight="1">
      <c r="B7" s="67"/>
      <c r="C7" s="98"/>
      <c r="D7" s="67"/>
      <c r="E7" s="25"/>
      <c r="F7" s="25"/>
      <c r="G7" s="25"/>
      <c r="H7" s="21"/>
      <c r="I7" s="25"/>
      <c r="J7" s="25"/>
      <c r="K7" s="22"/>
      <c r="L7" s="21"/>
      <c r="M7" s="25"/>
      <c r="N7" s="25"/>
      <c r="O7" s="22"/>
      <c r="P7" s="21"/>
      <c r="Q7" s="25"/>
      <c r="R7" s="25"/>
      <c r="S7" s="22"/>
      <c r="T7" s="21"/>
      <c r="U7" s="25"/>
      <c r="V7" s="25"/>
      <c r="W7" s="22"/>
      <c r="X7" s="21"/>
      <c r="Y7" s="25"/>
      <c r="Z7" s="25"/>
      <c r="AA7" s="22"/>
      <c r="AB7" s="21"/>
      <c r="AC7" s="25"/>
      <c r="AD7" s="25"/>
      <c r="AE7" s="22"/>
      <c r="AF7" s="21"/>
      <c r="AG7" s="25"/>
      <c r="AH7" s="25"/>
      <c r="AI7" s="22"/>
      <c r="AJ7" s="21"/>
      <c r="AK7" s="25"/>
      <c r="AL7" s="25"/>
      <c r="AM7" s="22"/>
      <c r="AN7" s="21"/>
      <c r="AO7" s="25"/>
      <c r="AP7" s="25"/>
      <c r="AQ7" s="22"/>
    </row>
    <row r="8" spans="2:43" s="26" customFormat="1">
      <c r="B8" s="19" t="s">
        <v>25</v>
      </c>
      <c r="C8" s="106">
        <v>2656236</v>
      </c>
      <c r="D8" s="103">
        <v>1994026.7400000002</v>
      </c>
      <c r="E8" s="25">
        <v>1785771</v>
      </c>
      <c r="F8" s="25">
        <v>1637492</v>
      </c>
      <c r="G8" s="25">
        <v>1769698</v>
      </c>
      <c r="H8" s="21">
        <v>1619512</v>
      </c>
      <c r="I8" s="25">
        <v>1250034</v>
      </c>
      <c r="J8" s="25">
        <v>1249587</v>
      </c>
      <c r="K8" s="22">
        <v>1332284</v>
      </c>
      <c r="L8" s="21">
        <v>1409897</v>
      </c>
      <c r="M8" s="25">
        <v>1236445</v>
      </c>
      <c r="N8" s="25">
        <v>1651053</v>
      </c>
      <c r="O8" s="22">
        <v>1535170</v>
      </c>
      <c r="P8" s="21">
        <v>1222499</v>
      </c>
      <c r="Q8" s="25">
        <v>1259691</v>
      </c>
      <c r="R8" s="25">
        <v>995777</v>
      </c>
      <c r="S8" s="22">
        <v>937314</v>
      </c>
      <c r="T8" s="21">
        <v>589392</v>
      </c>
      <c r="U8" s="25">
        <v>754553</v>
      </c>
      <c r="V8" s="25">
        <v>621809</v>
      </c>
      <c r="W8" s="22">
        <v>642831</v>
      </c>
      <c r="X8" s="21">
        <v>542205</v>
      </c>
      <c r="Y8" s="25">
        <v>680024</v>
      </c>
      <c r="Z8" s="25">
        <v>681342</v>
      </c>
      <c r="AA8" s="22">
        <v>731175</v>
      </c>
      <c r="AB8" s="21">
        <v>484351</v>
      </c>
      <c r="AC8" s="25">
        <v>436800</v>
      </c>
      <c r="AD8" s="25">
        <v>433861</v>
      </c>
      <c r="AE8" s="22">
        <v>457590</v>
      </c>
      <c r="AF8" s="21">
        <v>467987</v>
      </c>
      <c r="AG8" s="25">
        <v>504660</v>
      </c>
      <c r="AH8" s="25">
        <v>499189</v>
      </c>
      <c r="AI8" s="22">
        <v>452041</v>
      </c>
      <c r="AJ8" s="21">
        <v>367096</v>
      </c>
      <c r="AK8" s="25">
        <v>262402</v>
      </c>
      <c r="AL8" s="25">
        <v>251987</v>
      </c>
      <c r="AM8" s="22">
        <v>286000</v>
      </c>
      <c r="AN8" s="21">
        <v>290739</v>
      </c>
      <c r="AO8" s="25">
        <v>239817</v>
      </c>
      <c r="AP8" s="25">
        <v>246426</v>
      </c>
      <c r="AQ8" s="22">
        <v>290116</v>
      </c>
    </row>
    <row r="9" spans="2:43" s="26" customFormat="1">
      <c r="B9" s="19" t="s">
        <v>51</v>
      </c>
      <c r="C9" s="106">
        <v>5934234</v>
      </c>
      <c r="D9" s="103">
        <v>5864393.2599999998</v>
      </c>
      <c r="E9" s="25">
        <v>5352306</v>
      </c>
      <c r="F9" s="25">
        <v>4584514</v>
      </c>
      <c r="G9" s="25">
        <v>4182768</v>
      </c>
      <c r="H9" s="21">
        <v>3751303</v>
      </c>
      <c r="I9" s="25">
        <v>3170770</v>
      </c>
      <c r="J9" s="25">
        <v>2769002</v>
      </c>
      <c r="K9" s="22">
        <v>2441023</v>
      </c>
      <c r="L9" s="21">
        <v>2266859</v>
      </c>
      <c r="M9" s="25">
        <v>2077824</v>
      </c>
      <c r="N9" s="25">
        <v>1961190</v>
      </c>
      <c r="O9" s="22">
        <v>1927341</v>
      </c>
      <c r="P9" s="21">
        <v>1938503</v>
      </c>
      <c r="Q9" s="25">
        <v>1861750</v>
      </c>
      <c r="R9" s="25">
        <v>1724274</v>
      </c>
      <c r="S9" s="22">
        <v>1888488</v>
      </c>
      <c r="T9" s="21">
        <v>1786869</v>
      </c>
      <c r="U9" s="25">
        <v>1601152</v>
      </c>
      <c r="V9" s="25">
        <v>1491530</v>
      </c>
      <c r="W9" s="22">
        <v>1345261</v>
      </c>
      <c r="X9" s="21">
        <v>1033602</v>
      </c>
      <c r="Y9" s="25">
        <v>804052</v>
      </c>
      <c r="Z9" s="25">
        <v>746474</v>
      </c>
      <c r="AA9" s="22">
        <v>539388</v>
      </c>
      <c r="AB9" s="21">
        <v>470845</v>
      </c>
      <c r="AC9" s="25">
        <v>481203</v>
      </c>
      <c r="AD9" s="25">
        <v>443576</v>
      </c>
      <c r="AE9" s="22">
        <v>416699</v>
      </c>
      <c r="AF9" s="21">
        <v>363908</v>
      </c>
      <c r="AG9" s="25">
        <v>340127</v>
      </c>
      <c r="AH9" s="25">
        <v>336753</v>
      </c>
      <c r="AI9" s="22">
        <v>326372</v>
      </c>
      <c r="AJ9" s="21">
        <v>378471</v>
      </c>
      <c r="AK9" s="25">
        <v>462868</v>
      </c>
      <c r="AL9" s="25">
        <v>442963</v>
      </c>
      <c r="AM9" s="22">
        <v>406048</v>
      </c>
      <c r="AN9" s="21">
        <v>375642</v>
      </c>
      <c r="AO9" s="25">
        <v>335445</v>
      </c>
      <c r="AP9" s="25">
        <v>316961</v>
      </c>
      <c r="AQ9" s="22">
        <v>315566</v>
      </c>
    </row>
    <row r="10" spans="2:43" s="26" customFormat="1">
      <c r="B10" s="19" t="s">
        <v>68</v>
      </c>
      <c r="C10" s="106">
        <v>1055268</v>
      </c>
      <c r="D10" s="103">
        <v>1006973</v>
      </c>
      <c r="E10" s="25">
        <v>985973</v>
      </c>
      <c r="F10" s="25">
        <v>896185</v>
      </c>
      <c r="G10" s="25">
        <v>1331119</v>
      </c>
      <c r="H10" s="21">
        <v>1123923</v>
      </c>
      <c r="I10" s="25">
        <v>1172379</v>
      </c>
      <c r="J10" s="25">
        <v>1048716</v>
      </c>
      <c r="K10" s="22">
        <v>1477799</v>
      </c>
      <c r="L10" s="21">
        <v>903255</v>
      </c>
      <c r="M10" s="25">
        <v>977297</v>
      </c>
      <c r="N10" s="25">
        <v>931409</v>
      </c>
      <c r="O10" s="22">
        <v>923062</v>
      </c>
      <c r="P10" s="21">
        <v>842509</v>
      </c>
      <c r="Q10" s="25">
        <v>957700</v>
      </c>
      <c r="R10" s="25">
        <v>878228</v>
      </c>
      <c r="S10" s="22">
        <v>714767</v>
      </c>
      <c r="T10" s="21">
        <v>703546</v>
      </c>
      <c r="U10" s="25">
        <v>570021</v>
      </c>
      <c r="V10" s="25">
        <v>551405</v>
      </c>
      <c r="W10" s="22">
        <v>778812</v>
      </c>
      <c r="X10" s="21">
        <v>663133</v>
      </c>
      <c r="Y10" s="25">
        <v>416363</v>
      </c>
      <c r="Z10" s="25">
        <v>312078</v>
      </c>
      <c r="AA10" s="22">
        <v>194507</v>
      </c>
      <c r="AB10" s="21">
        <v>149318</v>
      </c>
      <c r="AC10" s="25">
        <v>148919</v>
      </c>
      <c r="AD10" s="25">
        <v>109146</v>
      </c>
      <c r="AE10" s="22">
        <v>107881</v>
      </c>
      <c r="AF10" s="21">
        <v>114279</v>
      </c>
      <c r="AG10" s="25">
        <v>101519</v>
      </c>
      <c r="AH10" s="25">
        <v>116562</v>
      </c>
      <c r="AI10" s="22" t="s">
        <v>116</v>
      </c>
      <c r="AJ10" s="21" t="s">
        <v>116</v>
      </c>
      <c r="AK10" s="25" t="s">
        <v>116</v>
      </c>
      <c r="AL10" s="25" t="s">
        <v>116</v>
      </c>
      <c r="AM10" s="22" t="s">
        <v>116</v>
      </c>
      <c r="AN10" s="21" t="s">
        <v>116</v>
      </c>
      <c r="AO10" s="25" t="s">
        <v>116</v>
      </c>
      <c r="AP10" s="25" t="s">
        <v>116</v>
      </c>
      <c r="AQ10" s="22" t="s">
        <v>116</v>
      </c>
    </row>
    <row r="11" spans="2:43" s="26" customFormat="1">
      <c r="B11" s="19" t="s">
        <v>26</v>
      </c>
      <c r="C11" s="20" t="s">
        <v>116</v>
      </c>
      <c r="D11" s="25" t="s">
        <v>116</v>
      </c>
      <c r="E11" s="25" t="s">
        <v>116</v>
      </c>
      <c r="F11" s="25" t="s">
        <v>116</v>
      </c>
      <c r="G11" s="25" t="s">
        <v>116</v>
      </c>
      <c r="H11" s="21" t="s">
        <v>116</v>
      </c>
      <c r="I11" s="25" t="s">
        <v>116</v>
      </c>
      <c r="J11" s="25" t="s">
        <v>116</v>
      </c>
      <c r="K11" s="25" t="s">
        <v>116</v>
      </c>
      <c r="L11" s="21" t="s">
        <v>116</v>
      </c>
      <c r="M11" s="25" t="s">
        <v>116</v>
      </c>
      <c r="N11" s="25" t="s">
        <v>116</v>
      </c>
      <c r="O11" s="25" t="s">
        <v>116</v>
      </c>
      <c r="P11" s="21" t="s">
        <v>116</v>
      </c>
      <c r="Q11" s="25" t="s">
        <v>116</v>
      </c>
      <c r="R11" s="25" t="s">
        <v>116</v>
      </c>
      <c r="S11" s="25" t="s">
        <v>116</v>
      </c>
      <c r="T11" s="21" t="s">
        <v>116</v>
      </c>
      <c r="U11" s="25" t="s">
        <v>116</v>
      </c>
      <c r="V11" s="25" t="s">
        <v>116</v>
      </c>
      <c r="W11" s="25" t="s">
        <v>116</v>
      </c>
      <c r="X11" s="21" t="s">
        <v>116</v>
      </c>
      <c r="Y11" s="25" t="s">
        <v>116</v>
      </c>
      <c r="Z11" s="25" t="s">
        <v>116</v>
      </c>
      <c r="AA11" s="25" t="s">
        <v>116</v>
      </c>
      <c r="AB11" s="21" t="s">
        <v>116</v>
      </c>
      <c r="AC11" s="25" t="s">
        <v>116</v>
      </c>
      <c r="AD11" s="25" t="s">
        <v>116</v>
      </c>
      <c r="AE11" s="25" t="s">
        <v>116</v>
      </c>
      <c r="AF11" s="21" t="s">
        <v>116</v>
      </c>
      <c r="AG11" s="25" t="s">
        <v>116</v>
      </c>
      <c r="AH11" s="25" t="s">
        <v>116</v>
      </c>
      <c r="AI11" s="22">
        <v>114505</v>
      </c>
      <c r="AJ11" s="21">
        <v>127944</v>
      </c>
      <c r="AK11" s="25">
        <v>148397</v>
      </c>
      <c r="AL11" s="25">
        <v>134950</v>
      </c>
      <c r="AM11" s="22">
        <v>114667</v>
      </c>
      <c r="AN11" s="21">
        <v>94903</v>
      </c>
      <c r="AO11" s="25">
        <v>69620</v>
      </c>
      <c r="AP11" s="25">
        <v>60297</v>
      </c>
      <c r="AQ11" s="22">
        <v>63772</v>
      </c>
    </row>
    <row r="12" spans="2:43" s="26" customFormat="1">
      <c r="B12" s="19" t="s">
        <v>52</v>
      </c>
      <c r="C12" s="20" t="s">
        <v>116</v>
      </c>
      <c r="D12" s="25" t="s">
        <v>116</v>
      </c>
      <c r="E12" s="25" t="s">
        <v>116</v>
      </c>
      <c r="F12" s="25" t="s">
        <v>116</v>
      </c>
      <c r="G12" s="25" t="s">
        <v>116</v>
      </c>
      <c r="H12" s="21" t="s">
        <v>116</v>
      </c>
      <c r="I12" s="25" t="s">
        <v>116</v>
      </c>
      <c r="J12" s="25" t="s">
        <v>116</v>
      </c>
      <c r="K12" s="25" t="s">
        <v>116</v>
      </c>
      <c r="L12" s="21" t="s">
        <v>116</v>
      </c>
      <c r="M12" s="25" t="s">
        <v>116</v>
      </c>
      <c r="N12" s="25" t="s">
        <v>116</v>
      </c>
      <c r="O12" s="25" t="s">
        <v>116</v>
      </c>
      <c r="P12" s="21" t="s">
        <v>116</v>
      </c>
      <c r="Q12" s="25" t="s">
        <v>116</v>
      </c>
      <c r="R12" s="25" t="s">
        <v>116</v>
      </c>
      <c r="S12" s="25" t="s">
        <v>116</v>
      </c>
      <c r="T12" s="21" t="s">
        <v>116</v>
      </c>
      <c r="U12" s="25" t="s">
        <v>116</v>
      </c>
      <c r="V12" s="25" t="s">
        <v>116</v>
      </c>
      <c r="W12" s="25" t="s">
        <v>116</v>
      </c>
      <c r="X12" s="21" t="s">
        <v>116</v>
      </c>
      <c r="Y12" s="25" t="s">
        <v>116</v>
      </c>
      <c r="Z12" s="25" t="s">
        <v>116</v>
      </c>
      <c r="AA12" s="25" t="s">
        <v>116</v>
      </c>
      <c r="AB12" s="21" t="s">
        <v>116</v>
      </c>
      <c r="AC12" s="25" t="s">
        <v>116</v>
      </c>
      <c r="AD12" s="25" t="s">
        <v>116</v>
      </c>
      <c r="AE12" s="25" t="s">
        <v>116</v>
      </c>
      <c r="AF12" s="21" t="s">
        <v>116</v>
      </c>
      <c r="AG12" s="25" t="s">
        <v>116</v>
      </c>
      <c r="AH12" s="25" t="s">
        <v>116</v>
      </c>
      <c r="AI12" s="22">
        <v>138</v>
      </c>
      <c r="AJ12" s="21">
        <v>147</v>
      </c>
      <c r="AK12" s="25">
        <v>164</v>
      </c>
      <c r="AL12" s="25">
        <v>168</v>
      </c>
      <c r="AM12" s="22">
        <v>173</v>
      </c>
      <c r="AN12" s="21">
        <v>190</v>
      </c>
      <c r="AO12" s="25">
        <v>205</v>
      </c>
      <c r="AP12" s="25">
        <v>220</v>
      </c>
      <c r="AQ12" s="22">
        <v>212</v>
      </c>
    </row>
    <row r="13" spans="2:43" s="26" customFormat="1">
      <c r="B13" s="19" t="s">
        <v>27</v>
      </c>
      <c r="C13" s="112" t="s">
        <v>163</v>
      </c>
      <c r="D13" s="103">
        <v>14112</v>
      </c>
      <c r="E13" s="25">
        <v>21411</v>
      </c>
      <c r="F13" s="25">
        <v>20102</v>
      </c>
      <c r="G13" s="25">
        <v>3241</v>
      </c>
      <c r="H13" s="21">
        <v>131</v>
      </c>
      <c r="I13" s="25">
        <v>7029</v>
      </c>
      <c r="J13" s="25">
        <v>3</v>
      </c>
      <c r="K13" s="22">
        <v>0</v>
      </c>
      <c r="L13" s="21">
        <v>129</v>
      </c>
      <c r="M13" s="25">
        <v>112</v>
      </c>
      <c r="N13" s="25">
        <v>1052</v>
      </c>
      <c r="O13" s="22">
        <v>9103</v>
      </c>
      <c r="P13" s="21">
        <v>0</v>
      </c>
      <c r="Q13" s="25">
        <v>3</v>
      </c>
      <c r="R13" s="25">
        <v>1180</v>
      </c>
      <c r="S13" s="22">
        <v>106</v>
      </c>
      <c r="T13" s="21">
        <v>7247</v>
      </c>
      <c r="U13" s="25">
        <v>30</v>
      </c>
      <c r="V13" s="25">
        <v>10472</v>
      </c>
      <c r="W13" s="22">
        <v>201</v>
      </c>
      <c r="X13" s="21">
        <v>2593</v>
      </c>
      <c r="Y13" s="25">
        <v>2604</v>
      </c>
      <c r="Z13" s="25">
        <v>283</v>
      </c>
      <c r="AA13" s="22">
        <v>46</v>
      </c>
      <c r="AB13" s="21">
        <v>71</v>
      </c>
      <c r="AC13" s="25">
        <v>2550</v>
      </c>
      <c r="AD13" s="25">
        <v>5419</v>
      </c>
      <c r="AE13" s="22">
        <v>2924</v>
      </c>
      <c r="AF13" s="21">
        <v>3068</v>
      </c>
      <c r="AG13" s="25">
        <v>1467</v>
      </c>
      <c r="AH13" s="25">
        <v>285</v>
      </c>
      <c r="AI13" s="22">
        <v>318</v>
      </c>
      <c r="AJ13" s="21">
        <v>375</v>
      </c>
      <c r="AK13" s="25">
        <v>670</v>
      </c>
      <c r="AL13" s="25">
        <v>1538</v>
      </c>
      <c r="AM13" s="22">
        <v>3548</v>
      </c>
      <c r="AN13" s="21">
        <v>1016</v>
      </c>
      <c r="AO13" s="25">
        <v>9639</v>
      </c>
      <c r="AP13" s="25">
        <v>8469</v>
      </c>
      <c r="AQ13" s="22">
        <v>5724</v>
      </c>
    </row>
    <row r="14" spans="2:43" s="26" customFormat="1">
      <c r="B14" s="19" t="s">
        <v>75</v>
      </c>
      <c r="C14" s="106">
        <v>108197</v>
      </c>
      <c r="D14" s="103">
        <v>107761</v>
      </c>
      <c r="E14" s="25">
        <v>83357</v>
      </c>
      <c r="F14" s="25">
        <v>80391</v>
      </c>
      <c r="G14" s="25">
        <v>78586</v>
      </c>
      <c r="H14" s="21">
        <v>55026</v>
      </c>
      <c r="I14" s="25">
        <v>57357</v>
      </c>
      <c r="J14" s="25">
        <v>46366</v>
      </c>
      <c r="K14" s="22">
        <v>44519</v>
      </c>
      <c r="L14" s="21">
        <v>31407</v>
      </c>
      <c r="M14" s="25">
        <v>38210</v>
      </c>
      <c r="N14" s="25">
        <v>42753</v>
      </c>
      <c r="O14" s="22">
        <v>44975</v>
      </c>
      <c r="P14" s="21">
        <v>41675</v>
      </c>
      <c r="Q14" s="25">
        <v>37205</v>
      </c>
      <c r="R14" s="25">
        <v>22939</v>
      </c>
      <c r="S14" s="22">
        <v>33048</v>
      </c>
      <c r="T14" s="21">
        <v>26568</v>
      </c>
      <c r="U14" s="25">
        <v>21303</v>
      </c>
      <c r="V14" s="25">
        <v>14312</v>
      </c>
      <c r="W14" s="22">
        <v>16856</v>
      </c>
      <c r="X14" s="21">
        <v>13310</v>
      </c>
      <c r="Y14" s="25">
        <v>10061</v>
      </c>
      <c r="Z14" s="25">
        <v>8496</v>
      </c>
      <c r="AA14" s="22">
        <v>12617</v>
      </c>
      <c r="AB14" s="21">
        <v>6474</v>
      </c>
      <c r="AC14" s="25">
        <v>6906</v>
      </c>
      <c r="AD14" s="25">
        <v>7047</v>
      </c>
      <c r="AE14" s="22">
        <v>5173</v>
      </c>
      <c r="AF14" s="21">
        <v>5005</v>
      </c>
      <c r="AG14" s="25">
        <v>5356</v>
      </c>
      <c r="AH14" s="25">
        <v>6619</v>
      </c>
      <c r="AI14" s="22">
        <v>5829</v>
      </c>
      <c r="AJ14" s="21">
        <v>4009</v>
      </c>
      <c r="AK14" s="25">
        <v>5041</v>
      </c>
      <c r="AL14" s="25">
        <v>6525</v>
      </c>
      <c r="AM14" s="22">
        <v>9302</v>
      </c>
      <c r="AN14" s="21">
        <v>5244</v>
      </c>
      <c r="AO14" s="25">
        <v>7753</v>
      </c>
      <c r="AP14" s="25">
        <v>6501</v>
      </c>
      <c r="AQ14" s="22">
        <v>5064</v>
      </c>
    </row>
    <row r="15" spans="2:43" s="26" customFormat="1">
      <c r="B15" s="19" t="s">
        <v>28</v>
      </c>
      <c r="C15" s="106">
        <v>31704</v>
      </c>
      <c r="D15" s="103">
        <v>29037</v>
      </c>
      <c r="E15" s="25">
        <v>24056</v>
      </c>
      <c r="F15" s="25">
        <v>22151</v>
      </c>
      <c r="G15" s="25">
        <v>25642</v>
      </c>
      <c r="H15" s="21">
        <v>19686</v>
      </c>
      <c r="I15" s="25">
        <v>15378</v>
      </c>
      <c r="J15" s="25">
        <v>17487</v>
      </c>
      <c r="K15" s="22">
        <v>15967</v>
      </c>
      <c r="L15" s="21">
        <v>15486</v>
      </c>
      <c r="M15" s="25">
        <v>13686</v>
      </c>
      <c r="N15" s="25">
        <v>16353</v>
      </c>
      <c r="O15" s="22">
        <v>16145</v>
      </c>
      <c r="P15" s="21">
        <v>14524</v>
      </c>
      <c r="Q15" s="25">
        <v>14416</v>
      </c>
      <c r="R15" s="25">
        <v>10956</v>
      </c>
      <c r="S15" s="22">
        <v>10155</v>
      </c>
      <c r="T15" s="21">
        <v>8637</v>
      </c>
      <c r="U15" s="25">
        <v>9469</v>
      </c>
      <c r="V15" s="25">
        <v>6960</v>
      </c>
      <c r="W15" s="22">
        <v>6741</v>
      </c>
      <c r="X15" s="21">
        <v>5397</v>
      </c>
      <c r="Y15" s="25">
        <v>7128</v>
      </c>
      <c r="Z15" s="25">
        <v>5378</v>
      </c>
      <c r="AA15" s="22">
        <v>5453</v>
      </c>
      <c r="AB15" s="21">
        <v>4073</v>
      </c>
      <c r="AC15" s="25">
        <v>5829</v>
      </c>
      <c r="AD15" s="25">
        <v>4215</v>
      </c>
      <c r="AE15" s="22">
        <v>5072</v>
      </c>
      <c r="AF15" s="21">
        <v>3049</v>
      </c>
      <c r="AG15" s="25">
        <v>4687</v>
      </c>
      <c r="AH15" s="25">
        <v>5085</v>
      </c>
      <c r="AI15" s="22">
        <v>5613</v>
      </c>
      <c r="AJ15" s="21">
        <v>3216</v>
      </c>
      <c r="AK15" s="25">
        <v>4330</v>
      </c>
      <c r="AL15" s="25">
        <v>5505</v>
      </c>
      <c r="AM15" s="22">
        <v>4361</v>
      </c>
      <c r="AN15" s="21">
        <v>3590</v>
      </c>
      <c r="AO15" s="25">
        <v>5119</v>
      </c>
      <c r="AP15" s="25">
        <v>4723</v>
      </c>
      <c r="AQ15" s="22">
        <v>8547</v>
      </c>
    </row>
    <row r="16" spans="2:43" s="26" customFormat="1">
      <c r="B16" s="19" t="s">
        <v>29</v>
      </c>
      <c r="C16" s="106">
        <v>1289</v>
      </c>
      <c r="D16" s="103">
        <v>1398</v>
      </c>
      <c r="E16" s="25">
        <v>1633</v>
      </c>
      <c r="F16" s="25">
        <v>1756</v>
      </c>
      <c r="G16" s="25">
        <v>1882</v>
      </c>
      <c r="H16" s="21">
        <v>2009</v>
      </c>
      <c r="I16" s="25">
        <v>1887</v>
      </c>
      <c r="J16" s="25">
        <v>1982</v>
      </c>
      <c r="K16" s="22">
        <v>2100</v>
      </c>
      <c r="L16" s="21">
        <v>1167</v>
      </c>
      <c r="M16" s="25">
        <v>1263</v>
      </c>
      <c r="N16" s="25">
        <v>1345</v>
      </c>
      <c r="O16" s="22">
        <v>1441</v>
      </c>
      <c r="P16" s="21">
        <v>1441</v>
      </c>
      <c r="Q16" s="25">
        <v>1111</v>
      </c>
      <c r="R16" s="25">
        <v>1189</v>
      </c>
      <c r="S16" s="22">
        <v>523</v>
      </c>
      <c r="T16" s="21">
        <v>585</v>
      </c>
      <c r="U16" s="25">
        <v>638</v>
      </c>
      <c r="V16" s="25">
        <v>704</v>
      </c>
      <c r="W16" s="22">
        <v>771</v>
      </c>
      <c r="X16" s="21">
        <v>639</v>
      </c>
      <c r="Y16" s="25">
        <v>685</v>
      </c>
      <c r="Z16" s="25">
        <v>640</v>
      </c>
      <c r="AA16" s="22">
        <v>623</v>
      </c>
      <c r="AB16" s="21">
        <v>572</v>
      </c>
      <c r="AC16" s="25">
        <v>571</v>
      </c>
      <c r="AD16" s="25">
        <v>624</v>
      </c>
      <c r="AE16" s="22">
        <v>679</v>
      </c>
      <c r="AF16" s="21">
        <v>716</v>
      </c>
      <c r="AG16" s="25">
        <v>1042</v>
      </c>
      <c r="AH16" s="25">
        <v>1344</v>
      </c>
      <c r="AI16" s="22">
        <v>1775</v>
      </c>
      <c r="AJ16" s="21">
        <v>2915</v>
      </c>
      <c r="AK16" s="25">
        <v>4040</v>
      </c>
      <c r="AL16" s="25">
        <v>5187</v>
      </c>
      <c r="AM16" s="22">
        <v>9901</v>
      </c>
      <c r="AN16" s="21">
        <v>10060</v>
      </c>
      <c r="AO16" s="25">
        <v>10860</v>
      </c>
      <c r="AP16" s="25">
        <v>11724</v>
      </c>
      <c r="AQ16" s="22">
        <v>12581</v>
      </c>
    </row>
    <row r="17" spans="2:43" s="26" customFormat="1">
      <c r="B17" s="19" t="s">
        <v>30</v>
      </c>
      <c r="C17" s="106">
        <v>63055</v>
      </c>
      <c r="D17" s="103">
        <v>63407</v>
      </c>
      <c r="E17" s="25">
        <v>66324</v>
      </c>
      <c r="F17" s="25">
        <v>66570</v>
      </c>
      <c r="G17" s="25">
        <v>63012</v>
      </c>
      <c r="H17" s="21">
        <v>65334</v>
      </c>
      <c r="I17" s="25">
        <v>55912</v>
      </c>
      <c r="J17" s="25">
        <v>56964</v>
      </c>
      <c r="K17" s="22">
        <v>51898</v>
      </c>
      <c r="L17" s="21">
        <v>50386</v>
      </c>
      <c r="M17" s="25">
        <v>51310</v>
      </c>
      <c r="N17" s="25">
        <v>50709</v>
      </c>
      <c r="O17" s="22">
        <v>49568</v>
      </c>
      <c r="P17" s="21">
        <v>45303</v>
      </c>
      <c r="Q17" s="25">
        <v>36336</v>
      </c>
      <c r="R17" s="25">
        <v>35558</v>
      </c>
      <c r="S17" s="22">
        <v>34166</v>
      </c>
      <c r="T17" s="21">
        <v>16206</v>
      </c>
      <c r="U17" s="25">
        <v>13121</v>
      </c>
      <c r="V17" s="25">
        <v>14510</v>
      </c>
      <c r="W17" s="22">
        <v>12544</v>
      </c>
      <c r="X17" s="21">
        <v>13260</v>
      </c>
      <c r="Y17" s="25">
        <v>12874</v>
      </c>
      <c r="Z17" s="25">
        <v>12977</v>
      </c>
      <c r="AA17" s="22">
        <v>13029</v>
      </c>
      <c r="AB17" s="21">
        <v>14193</v>
      </c>
      <c r="AC17" s="25">
        <v>14660</v>
      </c>
      <c r="AD17" s="25">
        <v>14614</v>
      </c>
      <c r="AE17" s="22">
        <v>17151</v>
      </c>
      <c r="AF17" s="21">
        <v>2517</v>
      </c>
      <c r="AG17" s="25">
        <v>2561</v>
      </c>
      <c r="AH17" s="25">
        <v>2712</v>
      </c>
      <c r="AI17" s="22">
        <v>2760</v>
      </c>
      <c r="AJ17" s="21">
        <v>3034</v>
      </c>
      <c r="AK17" s="25">
        <v>3181</v>
      </c>
      <c r="AL17" s="25">
        <v>3466</v>
      </c>
      <c r="AM17" s="22">
        <v>3419</v>
      </c>
      <c r="AN17" s="21">
        <v>3746</v>
      </c>
      <c r="AO17" s="25">
        <v>3598</v>
      </c>
      <c r="AP17" s="25">
        <v>3824</v>
      </c>
      <c r="AQ17" s="22">
        <v>3866</v>
      </c>
    </row>
    <row r="18" spans="2:43" s="26" customFormat="1">
      <c r="B18" s="19" t="s">
        <v>31</v>
      </c>
      <c r="C18" s="106">
        <v>4586</v>
      </c>
      <c r="D18" s="103">
        <v>5559</v>
      </c>
      <c r="E18" s="25">
        <v>6707</v>
      </c>
      <c r="F18" s="25">
        <v>7261</v>
      </c>
      <c r="G18" s="25">
        <v>7869</v>
      </c>
      <c r="H18" s="21">
        <v>8708</v>
      </c>
      <c r="I18" s="25">
        <v>7066</v>
      </c>
      <c r="J18" s="25">
        <v>7400</v>
      </c>
      <c r="K18" s="22">
        <v>9983</v>
      </c>
      <c r="L18" s="21">
        <v>10072</v>
      </c>
      <c r="M18" s="25">
        <v>7216</v>
      </c>
      <c r="N18" s="25">
        <v>7078</v>
      </c>
      <c r="O18" s="22">
        <v>7635</v>
      </c>
      <c r="P18" s="21">
        <v>7869</v>
      </c>
      <c r="Q18" s="25">
        <v>8299</v>
      </c>
      <c r="R18" s="25">
        <v>8066</v>
      </c>
      <c r="S18" s="22">
        <v>8105</v>
      </c>
      <c r="T18" s="21">
        <v>8693</v>
      </c>
      <c r="U18" s="25">
        <v>9130</v>
      </c>
      <c r="V18" s="25">
        <v>8998</v>
      </c>
      <c r="W18" s="22">
        <v>9347</v>
      </c>
      <c r="X18" s="21">
        <v>9387</v>
      </c>
      <c r="Y18" s="25">
        <v>9190</v>
      </c>
      <c r="Z18" s="25">
        <v>9177</v>
      </c>
      <c r="AA18" s="22">
        <v>9455</v>
      </c>
      <c r="AB18" s="21">
        <v>9003</v>
      </c>
      <c r="AC18" s="25">
        <v>9319</v>
      </c>
      <c r="AD18" s="25">
        <v>9066</v>
      </c>
      <c r="AE18" s="22">
        <v>9445</v>
      </c>
      <c r="AF18" s="21">
        <v>9545</v>
      </c>
      <c r="AG18" s="25">
        <v>10588</v>
      </c>
      <c r="AH18" s="25">
        <v>10836</v>
      </c>
      <c r="AI18" s="22">
        <v>10497</v>
      </c>
      <c r="AJ18" s="21">
        <v>10497</v>
      </c>
      <c r="AK18" s="25">
        <v>10805</v>
      </c>
      <c r="AL18" s="25">
        <v>10619</v>
      </c>
      <c r="AM18" s="22">
        <v>10935</v>
      </c>
      <c r="AN18" s="21">
        <v>11623</v>
      </c>
      <c r="AO18" s="25">
        <v>11588</v>
      </c>
      <c r="AP18" s="25">
        <v>12124</v>
      </c>
      <c r="AQ18" s="22">
        <v>11860</v>
      </c>
    </row>
    <row r="19" spans="2:43" s="26" customFormat="1">
      <c r="B19" s="70" t="s">
        <v>32</v>
      </c>
      <c r="C19" s="113">
        <f t="shared" ref="C19:G19" si="0">SUM(C7:C18)</f>
        <v>9854569</v>
      </c>
      <c r="D19" s="73">
        <f t="shared" si="0"/>
        <v>9086667</v>
      </c>
      <c r="E19" s="73">
        <v>8327538</v>
      </c>
      <c r="F19" s="73">
        <f t="shared" si="0"/>
        <v>7316422</v>
      </c>
      <c r="G19" s="73">
        <f t="shared" si="0"/>
        <v>7463817</v>
      </c>
      <c r="H19" s="72">
        <f t="shared" ref="H19" si="1">SUM(H7:H18)</f>
        <v>6645632</v>
      </c>
      <c r="I19" s="73">
        <f>SUM(I8:I18)</f>
        <v>5737812</v>
      </c>
      <c r="J19" s="73">
        <f>SUM(J8:J18)</f>
        <v>5197507</v>
      </c>
      <c r="K19" s="74">
        <f t="shared" ref="K19" si="2">SUM(K8:K18)</f>
        <v>5375573</v>
      </c>
      <c r="L19" s="72">
        <f>SUM(L8:L18)</f>
        <v>4688658</v>
      </c>
      <c r="M19" s="73">
        <f t="shared" ref="M19" si="3">SUM(M8:M18)</f>
        <v>4403363</v>
      </c>
      <c r="N19" s="73">
        <f t="shared" ref="N19" si="4">SUM(N8:N18)</f>
        <v>4662942</v>
      </c>
      <c r="O19" s="74">
        <f t="shared" ref="O19" si="5">SUM(O8:O18)</f>
        <v>4514440</v>
      </c>
      <c r="P19" s="72">
        <f>SUM(P8:P18)</f>
        <v>4114323</v>
      </c>
      <c r="Q19" s="73">
        <f t="shared" ref="Q19" si="6">SUM(Q8:Q18)</f>
        <v>4176511</v>
      </c>
      <c r="R19" s="73">
        <f t="shared" ref="R19" si="7">SUM(R8:R18)</f>
        <v>3678167</v>
      </c>
      <c r="S19" s="74">
        <f t="shared" ref="S19" si="8">SUM(S8:S18)</f>
        <v>3626672</v>
      </c>
      <c r="T19" s="72">
        <f>SUM(T8:T18)</f>
        <v>3147743</v>
      </c>
      <c r="U19" s="73">
        <f t="shared" ref="U19" si="9">SUM(U8:U18)</f>
        <v>2979417</v>
      </c>
      <c r="V19" s="73">
        <f t="shared" ref="V19" si="10">SUM(V8:V18)</f>
        <v>2720700</v>
      </c>
      <c r="W19" s="74">
        <f t="shared" ref="W19" si="11">SUM(W8:W18)</f>
        <v>2813364</v>
      </c>
      <c r="X19" s="72">
        <f>SUM(X8:X18)</f>
        <v>2283526</v>
      </c>
      <c r="Y19" s="73">
        <f t="shared" ref="Y19" si="12">SUM(Y8:Y18)</f>
        <v>1942981</v>
      </c>
      <c r="Z19" s="73">
        <f t="shared" ref="Z19" si="13">SUM(Z8:Z18)</f>
        <v>1776845</v>
      </c>
      <c r="AA19" s="74">
        <f t="shared" ref="AA19" si="14">SUM(AA8:AA18)</f>
        <v>1506293</v>
      </c>
      <c r="AB19" s="72">
        <f>SUM(AB8:AB18)</f>
        <v>1138900</v>
      </c>
      <c r="AC19" s="73">
        <f t="shared" ref="AC19" si="15">SUM(AC8:AC18)</f>
        <v>1106757</v>
      </c>
      <c r="AD19" s="73">
        <f t="shared" ref="AD19" si="16">SUM(AD8:AD18)</f>
        <v>1027568</v>
      </c>
      <c r="AE19" s="74">
        <f t="shared" ref="AE19" si="17">SUM(AE8:AE18)</f>
        <v>1022614</v>
      </c>
      <c r="AF19" s="72">
        <f>SUM(AF8:AF18)</f>
        <v>970074</v>
      </c>
      <c r="AG19" s="73">
        <f t="shared" ref="AG19:AI19" si="18">SUM(AG8:AG18)</f>
        <v>972007</v>
      </c>
      <c r="AH19" s="73">
        <f t="shared" si="18"/>
        <v>979385</v>
      </c>
      <c r="AI19" s="74">
        <f t="shared" si="18"/>
        <v>919848</v>
      </c>
      <c r="AJ19" s="72">
        <f t="shared" ref="AJ19:AQ19" si="19">SUM(AJ8:AJ18)</f>
        <v>897704</v>
      </c>
      <c r="AK19" s="73">
        <f t="shared" si="19"/>
        <v>901898</v>
      </c>
      <c r="AL19" s="73">
        <f t="shared" si="19"/>
        <v>862908</v>
      </c>
      <c r="AM19" s="74">
        <f t="shared" si="19"/>
        <v>848354</v>
      </c>
      <c r="AN19" s="72">
        <f t="shared" si="19"/>
        <v>796753</v>
      </c>
      <c r="AO19" s="73">
        <f t="shared" si="19"/>
        <v>693644</v>
      </c>
      <c r="AP19" s="73">
        <f t="shared" si="19"/>
        <v>671269</v>
      </c>
      <c r="AQ19" s="74">
        <f t="shared" si="19"/>
        <v>717308</v>
      </c>
    </row>
    <row r="20" spans="2:43" s="26" customFormat="1" ht="7.5" customHeight="1">
      <c r="B20" s="19"/>
      <c r="C20" s="97"/>
      <c r="D20" s="19"/>
      <c r="E20" s="25"/>
      <c r="F20" s="25"/>
      <c r="G20" s="25"/>
      <c r="H20" s="21"/>
      <c r="I20" s="25"/>
      <c r="J20" s="25"/>
      <c r="K20" s="22"/>
      <c r="L20" s="21"/>
      <c r="M20" s="25"/>
      <c r="N20" s="25"/>
      <c r="O20" s="22"/>
      <c r="P20" s="21"/>
      <c r="Q20" s="25"/>
      <c r="R20" s="25"/>
      <c r="S20" s="22"/>
      <c r="T20" s="21"/>
      <c r="U20" s="25"/>
      <c r="V20" s="25"/>
      <c r="W20" s="22"/>
      <c r="X20" s="21"/>
      <c r="Y20" s="25"/>
      <c r="Z20" s="25"/>
      <c r="AA20" s="22"/>
      <c r="AB20" s="21"/>
      <c r="AC20" s="25"/>
      <c r="AD20" s="25"/>
      <c r="AE20" s="22"/>
      <c r="AF20" s="21"/>
      <c r="AG20" s="25"/>
      <c r="AH20" s="25"/>
      <c r="AI20" s="22"/>
      <c r="AJ20" s="21"/>
      <c r="AK20" s="25"/>
      <c r="AL20" s="25"/>
      <c r="AM20" s="22"/>
      <c r="AN20" s="21"/>
      <c r="AO20" s="25"/>
      <c r="AP20" s="25"/>
      <c r="AQ20" s="22"/>
    </row>
    <row r="21" spans="2:43" s="26" customFormat="1">
      <c r="B21" s="67" t="s">
        <v>33</v>
      </c>
      <c r="C21" s="98"/>
      <c r="D21" s="67"/>
      <c r="E21" s="25"/>
      <c r="F21" s="25"/>
      <c r="G21" s="25"/>
      <c r="H21" s="21"/>
      <c r="I21" s="25"/>
      <c r="J21" s="25"/>
      <c r="K21" s="22"/>
      <c r="L21" s="21"/>
      <c r="M21" s="25"/>
      <c r="N21" s="25"/>
      <c r="O21" s="22"/>
      <c r="P21" s="21"/>
      <c r="Q21" s="25"/>
      <c r="R21" s="25"/>
      <c r="S21" s="22"/>
      <c r="T21" s="21"/>
      <c r="U21" s="25"/>
      <c r="V21" s="25"/>
      <c r="W21" s="22"/>
      <c r="X21" s="21"/>
      <c r="Y21" s="25"/>
      <c r="Z21" s="25"/>
      <c r="AA21" s="22"/>
      <c r="AB21" s="21"/>
      <c r="AC21" s="25"/>
      <c r="AD21" s="25"/>
      <c r="AE21" s="22"/>
      <c r="AF21" s="21"/>
      <c r="AG21" s="25"/>
      <c r="AH21" s="25"/>
      <c r="AI21" s="22"/>
      <c r="AJ21" s="21"/>
      <c r="AK21" s="25"/>
      <c r="AL21" s="25"/>
      <c r="AM21" s="22"/>
      <c r="AN21" s="21"/>
      <c r="AO21" s="25"/>
      <c r="AP21" s="25"/>
      <c r="AQ21" s="22"/>
    </row>
    <row r="22" spans="2:43" s="26" customFormat="1" ht="7.5" customHeight="1">
      <c r="B22" s="67"/>
      <c r="C22" s="98"/>
      <c r="D22" s="67"/>
      <c r="E22" s="25"/>
      <c r="F22" s="25"/>
      <c r="G22" s="25"/>
      <c r="H22" s="21"/>
      <c r="I22" s="25"/>
      <c r="J22" s="25"/>
      <c r="K22" s="22"/>
      <c r="L22" s="21"/>
      <c r="M22" s="25"/>
      <c r="N22" s="25"/>
      <c r="O22" s="22"/>
      <c r="P22" s="21"/>
      <c r="Q22" s="25"/>
      <c r="R22" s="25"/>
      <c r="S22" s="22"/>
      <c r="T22" s="21"/>
      <c r="U22" s="25"/>
      <c r="V22" s="25"/>
      <c r="W22" s="22"/>
      <c r="X22" s="21"/>
      <c r="Y22" s="25"/>
      <c r="Z22" s="25"/>
      <c r="AA22" s="22"/>
      <c r="AB22" s="21"/>
      <c r="AC22" s="25"/>
      <c r="AD22" s="25"/>
      <c r="AE22" s="22"/>
      <c r="AF22" s="21"/>
      <c r="AG22" s="25"/>
      <c r="AH22" s="25"/>
      <c r="AI22" s="22"/>
      <c r="AJ22" s="21"/>
      <c r="AK22" s="25"/>
      <c r="AL22" s="25"/>
      <c r="AM22" s="22"/>
      <c r="AN22" s="21"/>
      <c r="AO22" s="25"/>
      <c r="AP22" s="25"/>
      <c r="AQ22" s="22"/>
    </row>
    <row r="23" spans="2:43" s="26" customFormat="1">
      <c r="B23" s="67" t="s">
        <v>34</v>
      </c>
      <c r="C23" s="98"/>
      <c r="D23" s="67"/>
      <c r="E23" s="25"/>
      <c r="F23" s="25"/>
      <c r="G23" s="25"/>
      <c r="H23" s="21"/>
      <c r="I23" s="25"/>
      <c r="J23" s="25"/>
      <c r="K23" s="22"/>
      <c r="L23" s="21"/>
      <c r="M23" s="25"/>
      <c r="N23" s="25"/>
      <c r="O23" s="22"/>
      <c r="P23" s="21"/>
      <c r="Q23" s="25"/>
      <c r="R23" s="25"/>
      <c r="S23" s="22"/>
      <c r="T23" s="21"/>
      <c r="U23" s="25"/>
      <c r="V23" s="25"/>
      <c r="W23" s="22"/>
      <c r="X23" s="21"/>
      <c r="Y23" s="25"/>
      <c r="Z23" s="25"/>
      <c r="AA23" s="22"/>
      <c r="AB23" s="21"/>
      <c r="AC23" s="25"/>
      <c r="AD23" s="25"/>
      <c r="AE23" s="22"/>
      <c r="AF23" s="21"/>
      <c r="AG23" s="25"/>
      <c r="AH23" s="25"/>
      <c r="AI23" s="22"/>
      <c r="AJ23" s="21"/>
      <c r="AK23" s="25"/>
      <c r="AL23" s="25"/>
      <c r="AM23" s="22"/>
      <c r="AN23" s="21"/>
      <c r="AO23" s="25"/>
      <c r="AP23" s="25"/>
      <c r="AQ23" s="22"/>
    </row>
    <row r="24" spans="2:43" s="26" customFormat="1">
      <c r="B24" s="19" t="s">
        <v>35</v>
      </c>
      <c r="C24" s="106">
        <v>6628380</v>
      </c>
      <c r="D24" s="103">
        <v>6528223</v>
      </c>
      <c r="E24" s="25">
        <v>5933736</v>
      </c>
      <c r="F24" s="25">
        <v>5110193</v>
      </c>
      <c r="G24" s="25">
        <v>4755121</v>
      </c>
      <c r="H24" s="21">
        <v>4164895</v>
      </c>
      <c r="I24" s="25">
        <v>3596726</v>
      </c>
      <c r="J24" s="25">
        <v>3222887</v>
      </c>
      <c r="K24" s="22">
        <v>2917299</v>
      </c>
      <c r="L24" s="21">
        <v>2638122</v>
      </c>
      <c r="M24" s="25">
        <v>2594097</v>
      </c>
      <c r="N24" s="25">
        <v>2451290</v>
      </c>
      <c r="O24" s="22">
        <v>2398456</v>
      </c>
      <c r="P24" s="21">
        <v>2327728</v>
      </c>
      <c r="Q24" s="25">
        <v>2371055</v>
      </c>
      <c r="R24" s="25">
        <v>2173874</v>
      </c>
      <c r="S24" s="22">
        <v>2166927</v>
      </c>
      <c r="T24" s="21">
        <v>2010490</v>
      </c>
      <c r="U24" s="25">
        <v>1903659</v>
      </c>
      <c r="V24" s="25">
        <v>1751502</v>
      </c>
      <c r="W24" s="22">
        <v>1580572</v>
      </c>
      <c r="X24" s="21">
        <v>1203243</v>
      </c>
      <c r="Y24" s="25">
        <v>963967</v>
      </c>
      <c r="Z24" s="25">
        <v>862345</v>
      </c>
      <c r="AA24" s="22">
        <v>670395</v>
      </c>
      <c r="AB24" s="21">
        <v>573792</v>
      </c>
      <c r="AC24" s="25">
        <v>576859</v>
      </c>
      <c r="AD24" s="25">
        <v>522153</v>
      </c>
      <c r="AE24" s="22">
        <v>500688</v>
      </c>
      <c r="AF24" s="21">
        <v>447841</v>
      </c>
      <c r="AG24" s="25">
        <v>419876</v>
      </c>
      <c r="AH24" s="25">
        <v>424955</v>
      </c>
      <c r="AI24" s="22">
        <v>402622</v>
      </c>
      <c r="AJ24" s="21">
        <v>421400</v>
      </c>
      <c r="AK24" s="25">
        <v>455863</v>
      </c>
      <c r="AL24" s="25">
        <v>457208</v>
      </c>
      <c r="AM24" s="22">
        <v>418384</v>
      </c>
      <c r="AN24" s="21">
        <v>377268</v>
      </c>
      <c r="AO24" s="25">
        <v>342629</v>
      </c>
      <c r="AP24" s="25">
        <v>320637</v>
      </c>
      <c r="AQ24" s="22">
        <v>319222</v>
      </c>
    </row>
    <row r="25" spans="2:43" s="26" customFormat="1">
      <c r="B25" s="19" t="s">
        <v>36</v>
      </c>
      <c r="C25" s="106">
        <v>215752</v>
      </c>
      <c r="D25" s="103">
        <v>271159</v>
      </c>
      <c r="E25" s="25">
        <v>259735</v>
      </c>
      <c r="F25" s="25">
        <v>185710</v>
      </c>
      <c r="G25" s="25">
        <v>197027</v>
      </c>
      <c r="H25" s="21">
        <v>208193</v>
      </c>
      <c r="I25" s="25">
        <v>120398</v>
      </c>
      <c r="J25" s="25">
        <v>153268</v>
      </c>
      <c r="K25" s="22">
        <v>185585</v>
      </c>
      <c r="L25" s="21">
        <v>110358</v>
      </c>
      <c r="M25" s="25">
        <v>102278</v>
      </c>
      <c r="N25" s="25">
        <v>103386</v>
      </c>
      <c r="O25" s="22">
        <v>107498</v>
      </c>
      <c r="P25" s="21">
        <v>105552</v>
      </c>
      <c r="Q25" s="25">
        <v>131571</v>
      </c>
      <c r="R25" s="25">
        <v>113052</v>
      </c>
      <c r="S25" s="22">
        <v>112545</v>
      </c>
      <c r="T25" s="21">
        <v>127712</v>
      </c>
      <c r="U25" s="25">
        <v>123595</v>
      </c>
      <c r="V25" s="25">
        <v>140963</v>
      </c>
      <c r="W25" s="22">
        <v>152517</v>
      </c>
      <c r="X25" s="21">
        <v>96632</v>
      </c>
      <c r="Y25" s="25">
        <v>54848</v>
      </c>
      <c r="Z25" s="25">
        <v>63133</v>
      </c>
      <c r="AA25" s="22">
        <v>39942</v>
      </c>
      <c r="AB25" s="21">
        <v>23529</v>
      </c>
      <c r="AC25" s="25">
        <v>20135</v>
      </c>
      <c r="AD25" s="25">
        <v>22232</v>
      </c>
      <c r="AE25" s="22">
        <v>15938</v>
      </c>
      <c r="AF25" s="21">
        <v>28227</v>
      </c>
      <c r="AG25" s="25">
        <v>16241</v>
      </c>
      <c r="AH25" s="25">
        <v>16459</v>
      </c>
      <c r="AI25" s="22">
        <v>19657</v>
      </c>
      <c r="AJ25" s="21">
        <v>40905</v>
      </c>
      <c r="AK25" s="25">
        <v>30948</v>
      </c>
      <c r="AL25" s="25">
        <v>26980</v>
      </c>
      <c r="AM25" s="22">
        <v>28520</v>
      </c>
      <c r="AN25" s="21">
        <v>22645</v>
      </c>
      <c r="AO25" s="25">
        <v>9013</v>
      </c>
      <c r="AP25" s="25">
        <v>10208</v>
      </c>
      <c r="AQ25" s="22">
        <v>9636</v>
      </c>
    </row>
    <row r="26" spans="2:43" s="26" customFormat="1">
      <c r="B26" s="19" t="s">
        <v>37</v>
      </c>
      <c r="C26" s="106">
        <v>56126</v>
      </c>
      <c r="D26" s="103">
        <v>1497</v>
      </c>
      <c r="E26" s="25">
        <v>988</v>
      </c>
      <c r="F26" s="25">
        <v>1224</v>
      </c>
      <c r="G26" s="25">
        <v>1634</v>
      </c>
      <c r="H26" s="21">
        <v>13316</v>
      </c>
      <c r="I26" s="25">
        <v>1058</v>
      </c>
      <c r="J26" s="25">
        <v>5227</v>
      </c>
      <c r="K26" s="22">
        <v>13675</v>
      </c>
      <c r="L26" s="21">
        <v>22991</v>
      </c>
      <c r="M26" s="25">
        <v>2884</v>
      </c>
      <c r="N26" s="25">
        <v>860</v>
      </c>
      <c r="O26" s="22">
        <v>1000</v>
      </c>
      <c r="P26" s="21">
        <v>1827</v>
      </c>
      <c r="Q26" s="25">
        <v>11479</v>
      </c>
      <c r="R26" s="25">
        <v>811</v>
      </c>
      <c r="S26" s="22">
        <v>21528</v>
      </c>
      <c r="T26" s="21">
        <v>783</v>
      </c>
      <c r="U26" s="25">
        <v>5041</v>
      </c>
      <c r="V26" s="25">
        <v>993</v>
      </c>
      <c r="W26" s="22">
        <v>4361</v>
      </c>
      <c r="X26" s="21">
        <v>1329</v>
      </c>
      <c r="Y26" s="25">
        <v>1205</v>
      </c>
      <c r="Z26" s="25">
        <v>904</v>
      </c>
      <c r="AA26" s="22">
        <v>26041</v>
      </c>
      <c r="AB26" s="21">
        <v>1697</v>
      </c>
      <c r="AC26" s="25">
        <v>123</v>
      </c>
      <c r="AD26" s="25">
        <v>285</v>
      </c>
      <c r="AE26" s="22">
        <v>440</v>
      </c>
      <c r="AF26" s="21">
        <v>232</v>
      </c>
      <c r="AG26" s="25">
        <v>281</v>
      </c>
      <c r="AH26" s="25">
        <v>523</v>
      </c>
      <c r="AI26" s="22">
        <v>2867</v>
      </c>
      <c r="AJ26" s="21">
        <v>1268</v>
      </c>
      <c r="AK26" s="25">
        <v>4444</v>
      </c>
      <c r="AL26" s="25">
        <v>3304</v>
      </c>
      <c r="AM26" s="22">
        <v>2270</v>
      </c>
      <c r="AN26" s="21">
        <v>4262</v>
      </c>
      <c r="AO26" s="25">
        <v>3339</v>
      </c>
      <c r="AP26" s="25">
        <v>2318</v>
      </c>
      <c r="AQ26" s="22">
        <v>2179</v>
      </c>
    </row>
    <row r="27" spans="2:43" s="26" customFormat="1">
      <c r="B27" s="19" t="s">
        <v>76</v>
      </c>
      <c r="C27" s="106">
        <v>22439</v>
      </c>
      <c r="D27" s="103">
        <v>25867</v>
      </c>
      <c r="E27" s="25">
        <v>28068</v>
      </c>
      <c r="F27" s="25">
        <v>27638</v>
      </c>
      <c r="G27" s="25">
        <v>30965</v>
      </c>
      <c r="H27" s="21">
        <v>33935</v>
      </c>
      <c r="I27" s="25">
        <v>26699</v>
      </c>
      <c r="J27" s="25">
        <v>27731</v>
      </c>
      <c r="K27" s="22">
        <v>28304</v>
      </c>
      <c r="L27" s="21">
        <v>29603</v>
      </c>
      <c r="M27" s="25">
        <v>31645</v>
      </c>
      <c r="N27" s="25">
        <v>32225</v>
      </c>
      <c r="O27" s="22">
        <v>33494</v>
      </c>
      <c r="P27" s="21">
        <v>30450</v>
      </c>
      <c r="Q27" s="25">
        <v>25737</v>
      </c>
      <c r="R27" s="25">
        <v>25597</v>
      </c>
      <c r="S27" s="22">
        <v>25301</v>
      </c>
      <c r="T27" s="21">
        <v>7437</v>
      </c>
      <c r="U27" s="25">
        <v>8110</v>
      </c>
      <c r="V27" s="25">
        <v>9126</v>
      </c>
      <c r="W27" s="22">
        <v>7508</v>
      </c>
      <c r="X27" s="21">
        <v>8654</v>
      </c>
      <c r="Y27" s="25">
        <v>9512</v>
      </c>
      <c r="Z27" s="25">
        <v>9516</v>
      </c>
      <c r="AA27" s="22">
        <v>10216</v>
      </c>
      <c r="AB27" s="21">
        <v>10772</v>
      </c>
      <c r="AC27" s="25">
        <v>12075</v>
      </c>
      <c r="AD27" s="25">
        <v>11749</v>
      </c>
      <c r="AE27" s="22">
        <v>14525</v>
      </c>
      <c r="AF27" s="21">
        <v>37</v>
      </c>
      <c r="AG27" s="25">
        <v>59</v>
      </c>
      <c r="AH27" s="25">
        <v>81</v>
      </c>
      <c r="AI27" s="22">
        <v>101</v>
      </c>
      <c r="AJ27" s="21">
        <v>128</v>
      </c>
      <c r="AK27" s="25">
        <v>159</v>
      </c>
      <c r="AL27" s="25">
        <v>182</v>
      </c>
      <c r="AM27" s="22">
        <v>214</v>
      </c>
      <c r="AN27" s="21">
        <v>258</v>
      </c>
      <c r="AO27" s="25">
        <v>285</v>
      </c>
      <c r="AP27" s="25">
        <v>324</v>
      </c>
      <c r="AQ27" s="22">
        <v>345</v>
      </c>
    </row>
    <row r="28" spans="2:43" s="26" customFormat="1">
      <c r="B28" s="19" t="s">
        <v>70</v>
      </c>
      <c r="C28" s="106">
        <v>303975</v>
      </c>
      <c r="D28" s="103">
        <v>174508</v>
      </c>
      <c r="E28" s="25">
        <v>198238</v>
      </c>
      <c r="F28" s="25">
        <v>149085</v>
      </c>
      <c r="G28" s="25">
        <v>206010</v>
      </c>
      <c r="H28" s="21">
        <v>156884</v>
      </c>
      <c r="I28" s="25">
        <v>111593</v>
      </c>
      <c r="J28" s="25">
        <v>120633</v>
      </c>
      <c r="K28" s="22">
        <v>117130</v>
      </c>
      <c r="L28" s="21">
        <v>86080</v>
      </c>
      <c r="M28" s="25">
        <v>113100</v>
      </c>
      <c r="N28" s="25">
        <v>640541</v>
      </c>
      <c r="O28" s="22">
        <v>88123</v>
      </c>
      <c r="P28" s="21">
        <v>79705</v>
      </c>
      <c r="Q28" s="25">
        <v>94596</v>
      </c>
      <c r="R28" s="25">
        <v>76116</v>
      </c>
      <c r="S28" s="22">
        <v>92334</v>
      </c>
      <c r="T28" s="21">
        <v>48377</v>
      </c>
      <c r="U28" s="25">
        <v>41601</v>
      </c>
      <c r="V28" s="25">
        <v>32842</v>
      </c>
      <c r="W28" s="22">
        <v>48887</v>
      </c>
      <c r="X28" s="21">
        <v>54167</v>
      </c>
      <c r="Y28" s="25">
        <v>39884</v>
      </c>
      <c r="Z28" s="25">
        <v>44012</v>
      </c>
      <c r="AA28" s="22">
        <v>49163</v>
      </c>
      <c r="AB28" s="21">
        <v>19676</v>
      </c>
      <c r="AC28" s="25">
        <v>18600</v>
      </c>
      <c r="AD28" s="25">
        <v>16749</v>
      </c>
      <c r="AE28" s="22">
        <v>20386</v>
      </c>
      <c r="AF28" s="21">
        <v>23744</v>
      </c>
      <c r="AG28" s="25">
        <v>31849</v>
      </c>
      <c r="AH28" s="25">
        <v>20084</v>
      </c>
      <c r="AI28" s="22">
        <v>22332</v>
      </c>
      <c r="AJ28" s="21">
        <v>21785</v>
      </c>
      <c r="AK28" s="25">
        <v>19988</v>
      </c>
      <c r="AL28" s="25">
        <v>18780</v>
      </c>
      <c r="AM28" s="22">
        <v>21881</v>
      </c>
      <c r="AN28" s="21">
        <v>22435</v>
      </c>
      <c r="AO28" s="25">
        <v>20671</v>
      </c>
      <c r="AP28" s="25">
        <v>22915</v>
      </c>
      <c r="AQ28" s="22">
        <v>61772</v>
      </c>
    </row>
    <row r="29" spans="2:43" s="26" customFormat="1">
      <c r="B29" s="19" t="s">
        <v>38</v>
      </c>
      <c r="C29" s="106">
        <v>6620</v>
      </c>
      <c r="D29" s="103">
        <v>6414</v>
      </c>
      <c r="E29" s="25">
        <v>3486</v>
      </c>
      <c r="F29" s="25">
        <v>3469</v>
      </c>
      <c r="G29" s="25">
        <v>3449</v>
      </c>
      <c r="H29" s="21">
        <v>3530</v>
      </c>
      <c r="I29" s="25">
        <v>3717</v>
      </c>
      <c r="J29" s="25">
        <v>3749</v>
      </c>
      <c r="K29" s="22">
        <v>3733</v>
      </c>
      <c r="L29" s="21">
        <v>3892</v>
      </c>
      <c r="M29" s="25">
        <v>4920</v>
      </c>
      <c r="N29" s="25">
        <v>4261</v>
      </c>
      <c r="O29" s="22">
        <v>4055</v>
      </c>
      <c r="P29" s="21">
        <v>4256</v>
      </c>
      <c r="Q29" s="25">
        <v>4402</v>
      </c>
      <c r="R29" s="25">
        <v>4245</v>
      </c>
      <c r="S29" s="22">
        <v>3612</v>
      </c>
      <c r="T29" s="21">
        <v>4965</v>
      </c>
      <c r="U29" s="25">
        <v>6004</v>
      </c>
      <c r="V29" s="25">
        <v>6287</v>
      </c>
      <c r="W29" s="22">
        <v>6855</v>
      </c>
      <c r="X29" s="21">
        <v>7939</v>
      </c>
      <c r="Y29" s="25">
        <v>4078</v>
      </c>
      <c r="Z29" s="25">
        <v>4064</v>
      </c>
      <c r="AA29" s="22">
        <v>3152</v>
      </c>
      <c r="AB29" s="21">
        <v>3129</v>
      </c>
      <c r="AC29" s="25">
        <v>3300</v>
      </c>
      <c r="AD29" s="25">
        <v>2757</v>
      </c>
      <c r="AE29" s="22">
        <v>2502</v>
      </c>
      <c r="AF29" s="21">
        <v>1980</v>
      </c>
      <c r="AG29" s="25">
        <v>1795</v>
      </c>
      <c r="AH29" s="25">
        <v>3060</v>
      </c>
      <c r="AI29" s="22">
        <v>1759</v>
      </c>
      <c r="AJ29" s="21">
        <v>1666</v>
      </c>
      <c r="AK29" s="25">
        <v>829</v>
      </c>
      <c r="AL29" s="25">
        <v>827</v>
      </c>
      <c r="AM29" s="22">
        <v>922</v>
      </c>
      <c r="AN29" s="21">
        <v>948</v>
      </c>
      <c r="AO29" s="25">
        <v>907</v>
      </c>
      <c r="AP29" s="25">
        <v>1218</v>
      </c>
      <c r="AQ29" s="22">
        <v>875</v>
      </c>
    </row>
    <row r="30" spans="2:43" s="26" customFormat="1">
      <c r="B30" s="19" t="s">
        <v>39</v>
      </c>
      <c r="C30" s="106">
        <v>78903</v>
      </c>
      <c r="D30" s="103">
        <v>78502</v>
      </c>
      <c r="E30" s="25">
        <v>84187</v>
      </c>
      <c r="F30" s="25">
        <v>75896</v>
      </c>
      <c r="G30" s="25">
        <v>75496</v>
      </c>
      <c r="H30" s="21">
        <v>61238</v>
      </c>
      <c r="I30" s="25">
        <v>69119</v>
      </c>
      <c r="J30" s="25">
        <v>58902</v>
      </c>
      <c r="K30" s="22">
        <v>71101</v>
      </c>
      <c r="L30" s="21">
        <v>62949</v>
      </c>
      <c r="M30" s="25">
        <v>77354</v>
      </c>
      <c r="N30" s="25">
        <v>77499</v>
      </c>
      <c r="O30" s="22">
        <v>73441</v>
      </c>
      <c r="P30" s="21">
        <v>58736</v>
      </c>
      <c r="Q30" s="25">
        <v>75308</v>
      </c>
      <c r="R30" s="25">
        <v>62998</v>
      </c>
      <c r="S30" s="22">
        <v>35109</v>
      </c>
      <c r="T30" s="21">
        <v>32419</v>
      </c>
      <c r="U30" s="25">
        <v>44173</v>
      </c>
      <c r="V30" s="25">
        <v>37374</v>
      </c>
      <c r="W30" s="22">
        <v>35002</v>
      </c>
      <c r="X30" s="21">
        <v>23257</v>
      </c>
      <c r="Y30" s="25">
        <v>22897</v>
      </c>
      <c r="Z30" s="25">
        <v>14826</v>
      </c>
      <c r="AA30" s="22">
        <v>17252</v>
      </c>
      <c r="AB30" s="21">
        <v>15561</v>
      </c>
      <c r="AC30" s="25">
        <v>18994</v>
      </c>
      <c r="AD30" s="25">
        <v>13791</v>
      </c>
      <c r="AE30" s="22">
        <v>12635</v>
      </c>
      <c r="AF30" s="21">
        <v>12857</v>
      </c>
      <c r="AG30" s="25">
        <v>12834</v>
      </c>
      <c r="AH30" s="25">
        <v>14933</v>
      </c>
      <c r="AI30" s="22">
        <v>12173</v>
      </c>
      <c r="AJ30" s="21">
        <v>10210</v>
      </c>
      <c r="AK30" s="25">
        <v>17245</v>
      </c>
      <c r="AL30" s="25">
        <v>14662</v>
      </c>
      <c r="AM30" s="22">
        <v>14953</v>
      </c>
      <c r="AN30" s="21">
        <v>13044</v>
      </c>
      <c r="AO30" s="25">
        <v>10043</v>
      </c>
      <c r="AP30" s="25">
        <v>6517</v>
      </c>
      <c r="AQ30" s="22">
        <v>9520</v>
      </c>
    </row>
    <row r="31" spans="2:43" s="26" customFormat="1">
      <c r="B31" s="70" t="s">
        <v>40</v>
      </c>
      <c r="C31" s="113">
        <f t="shared" ref="C31:F31" si="20">SUM(C24:C30)</f>
        <v>7312195</v>
      </c>
      <c r="D31" s="73">
        <f t="shared" si="20"/>
        <v>7086170</v>
      </c>
      <c r="E31" s="73">
        <v>6508438</v>
      </c>
      <c r="F31" s="73">
        <f t="shared" si="20"/>
        <v>5553215</v>
      </c>
      <c r="G31" s="73">
        <f t="shared" ref="G31:H31" si="21">SUM(G24:G30)</f>
        <v>5269702</v>
      </c>
      <c r="H31" s="72">
        <f t="shared" si="21"/>
        <v>4641991</v>
      </c>
      <c r="I31" s="73">
        <f t="shared" ref="I31" si="22">SUM(I24:I30)</f>
        <v>3929310</v>
      </c>
      <c r="J31" s="73">
        <f t="shared" ref="J31:AQ31" si="23">SUM(J24:J30)</f>
        <v>3592397</v>
      </c>
      <c r="K31" s="74">
        <f t="shared" si="23"/>
        <v>3336827</v>
      </c>
      <c r="L31" s="72">
        <f t="shared" si="23"/>
        <v>2953995</v>
      </c>
      <c r="M31" s="73">
        <f t="shared" si="23"/>
        <v>2926278</v>
      </c>
      <c r="N31" s="73">
        <f t="shared" si="23"/>
        <v>3310062</v>
      </c>
      <c r="O31" s="74">
        <f t="shared" si="23"/>
        <v>2706067</v>
      </c>
      <c r="P31" s="72">
        <f t="shared" si="23"/>
        <v>2608254</v>
      </c>
      <c r="Q31" s="73">
        <f t="shared" si="23"/>
        <v>2714148</v>
      </c>
      <c r="R31" s="73">
        <f t="shared" si="23"/>
        <v>2456693</v>
      </c>
      <c r="S31" s="74">
        <f t="shared" si="23"/>
        <v>2457356</v>
      </c>
      <c r="T31" s="72">
        <f t="shared" si="23"/>
        <v>2232183</v>
      </c>
      <c r="U31" s="73">
        <f t="shared" si="23"/>
        <v>2132183</v>
      </c>
      <c r="V31" s="73">
        <f t="shared" si="23"/>
        <v>1979087</v>
      </c>
      <c r="W31" s="74">
        <f t="shared" si="23"/>
        <v>1835702</v>
      </c>
      <c r="X31" s="72">
        <f t="shared" si="23"/>
        <v>1395221</v>
      </c>
      <c r="Y31" s="73">
        <f t="shared" si="23"/>
        <v>1096391</v>
      </c>
      <c r="Z31" s="73">
        <f t="shared" si="23"/>
        <v>998800</v>
      </c>
      <c r="AA31" s="74">
        <f t="shared" si="23"/>
        <v>816161</v>
      </c>
      <c r="AB31" s="72">
        <f t="shared" si="23"/>
        <v>648156</v>
      </c>
      <c r="AC31" s="73">
        <f t="shared" si="23"/>
        <v>650086</v>
      </c>
      <c r="AD31" s="73">
        <f t="shared" si="23"/>
        <v>589716</v>
      </c>
      <c r="AE31" s="74">
        <f t="shared" si="23"/>
        <v>567114</v>
      </c>
      <c r="AF31" s="72">
        <f t="shared" ref="AF31:AI31" si="24">SUM(AF24:AF30)</f>
        <v>514918</v>
      </c>
      <c r="AG31" s="73">
        <f t="shared" si="24"/>
        <v>482935</v>
      </c>
      <c r="AH31" s="73">
        <f t="shared" si="24"/>
        <v>480095</v>
      </c>
      <c r="AI31" s="74">
        <f t="shared" si="24"/>
        <v>461511</v>
      </c>
      <c r="AJ31" s="72">
        <f t="shared" si="23"/>
        <v>497362</v>
      </c>
      <c r="AK31" s="73">
        <f t="shared" si="23"/>
        <v>529476</v>
      </c>
      <c r="AL31" s="73">
        <f t="shared" si="23"/>
        <v>521943</v>
      </c>
      <c r="AM31" s="74">
        <f t="shared" si="23"/>
        <v>487144</v>
      </c>
      <c r="AN31" s="72">
        <f t="shared" si="23"/>
        <v>440860</v>
      </c>
      <c r="AO31" s="73">
        <f t="shared" si="23"/>
        <v>386887</v>
      </c>
      <c r="AP31" s="73">
        <f t="shared" si="23"/>
        <v>364137</v>
      </c>
      <c r="AQ31" s="74">
        <f t="shared" si="23"/>
        <v>403549</v>
      </c>
    </row>
    <row r="32" spans="2:43" s="26" customFormat="1" ht="6.75" customHeight="1">
      <c r="B32" s="67"/>
      <c r="C32" s="98"/>
      <c r="D32" s="67"/>
      <c r="E32" s="77"/>
      <c r="F32" s="77"/>
      <c r="G32" s="77"/>
      <c r="H32" s="54"/>
      <c r="I32" s="55"/>
      <c r="J32" s="55"/>
      <c r="K32" s="56"/>
      <c r="L32" s="54"/>
      <c r="M32" s="55"/>
      <c r="N32" s="55"/>
      <c r="O32" s="56"/>
      <c r="P32" s="54"/>
      <c r="Q32" s="55"/>
      <c r="R32" s="55"/>
      <c r="S32" s="56"/>
      <c r="T32" s="54"/>
      <c r="U32" s="55"/>
      <c r="V32" s="55"/>
      <c r="W32" s="56"/>
      <c r="X32" s="54"/>
      <c r="Y32" s="55"/>
      <c r="Z32" s="55"/>
      <c r="AA32" s="56"/>
      <c r="AB32" s="54"/>
      <c r="AC32" s="55"/>
      <c r="AD32" s="55"/>
      <c r="AE32" s="56"/>
      <c r="AF32" s="54"/>
      <c r="AG32" s="55"/>
      <c r="AH32" s="55"/>
      <c r="AI32" s="56"/>
      <c r="AJ32" s="54"/>
      <c r="AK32" s="55"/>
      <c r="AL32" s="55"/>
      <c r="AM32" s="56"/>
      <c r="AN32" s="54"/>
      <c r="AO32" s="55"/>
      <c r="AP32" s="55"/>
      <c r="AQ32" s="56"/>
    </row>
    <row r="33" spans="2:43" s="26" customFormat="1">
      <c r="B33" s="67" t="s">
        <v>41</v>
      </c>
      <c r="C33" s="98"/>
      <c r="D33" s="67"/>
      <c r="E33" s="77"/>
      <c r="F33" s="77"/>
      <c r="G33" s="77"/>
      <c r="H33" s="21"/>
      <c r="I33" s="25"/>
      <c r="J33" s="25"/>
      <c r="K33" s="22"/>
      <c r="L33" s="21"/>
      <c r="M33" s="25"/>
      <c r="N33" s="25"/>
      <c r="O33" s="22"/>
      <c r="P33" s="21"/>
      <c r="Q33" s="25"/>
      <c r="R33" s="25"/>
      <c r="S33" s="22"/>
      <c r="T33" s="21"/>
      <c r="U33" s="25"/>
      <c r="V33" s="25"/>
      <c r="W33" s="22"/>
      <c r="X33" s="21"/>
      <c r="Y33" s="25"/>
      <c r="Z33" s="25"/>
      <c r="AA33" s="22"/>
      <c r="AB33" s="21"/>
      <c r="AC33" s="25"/>
      <c r="AD33" s="25"/>
      <c r="AE33" s="22"/>
      <c r="AF33" s="21"/>
      <c r="AG33" s="25"/>
      <c r="AH33" s="25"/>
      <c r="AI33" s="22"/>
      <c r="AJ33" s="21"/>
      <c r="AK33" s="25"/>
      <c r="AL33" s="25"/>
      <c r="AM33" s="22"/>
      <c r="AN33" s="21"/>
      <c r="AO33" s="25"/>
      <c r="AP33" s="25"/>
      <c r="AQ33" s="22"/>
    </row>
    <row r="34" spans="2:43" s="26" customFormat="1">
      <c r="B34" s="19" t="s">
        <v>42</v>
      </c>
      <c r="C34" s="106">
        <v>5878</v>
      </c>
      <c r="D34" s="25">
        <v>5878</v>
      </c>
      <c r="E34" s="25">
        <v>5878</v>
      </c>
      <c r="F34" s="25">
        <v>5878</v>
      </c>
      <c r="G34" s="25">
        <v>5878</v>
      </c>
      <c r="H34" s="21">
        <v>5878</v>
      </c>
      <c r="I34" s="25">
        <v>5878</v>
      </c>
      <c r="J34" s="25">
        <v>5878</v>
      </c>
      <c r="K34" s="22">
        <v>5878</v>
      </c>
      <c r="L34" s="21">
        <v>5878</v>
      </c>
      <c r="M34" s="25">
        <v>5869</v>
      </c>
      <c r="N34" s="25">
        <v>5869</v>
      </c>
      <c r="O34" s="22">
        <v>5869</v>
      </c>
      <c r="P34" s="21">
        <v>5869</v>
      </c>
      <c r="Q34" s="25">
        <v>5869</v>
      </c>
      <c r="R34" s="25">
        <v>5869</v>
      </c>
      <c r="S34" s="22">
        <v>5869</v>
      </c>
      <c r="T34" s="21">
        <v>5869</v>
      </c>
      <c r="U34" s="25">
        <v>5869</v>
      </c>
      <c r="V34" s="25">
        <v>5869</v>
      </c>
      <c r="W34" s="22">
        <v>5869</v>
      </c>
      <c r="X34" s="21">
        <v>5869</v>
      </c>
      <c r="Y34" s="25">
        <v>5869</v>
      </c>
      <c r="Z34" s="25">
        <v>5869</v>
      </c>
      <c r="AA34" s="22">
        <v>5869</v>
      </c>
      <c r="AB34" s="21">
        <v>5869</v>
      </c>
      <c r="AC34" s="25">
        <v>5869</v>
      </c>
      <c r="AD34" s="25">
        <v>5869</v>
      </c>
      <c r="AE34" s="22">
        <v>5869</v>
      </c>
      <c r="AF34" s="21">
        <v>5869</v>
      </c>
      <c r="AG34" s="25">
        <v>5869</v>
      </c>
      <c r="AH34" s="25">
        <v>5869</v>
      </c>
      <c r="AI34" s="22">
        <v>5869</v>
      </c>
      <c r="AJ34" s="21">
        <v>5869</v>
      </c>
      <c r="AK34" s="25">
        <v>5869</v>
      </c>
      <c r="AL34" s="25">
        <v>5869</v>
      </c>
      <c r="AM34" s="22">
        <v>5869</v>
      </c>
      <c r="AN34" s="21">
        <v>5869</v>
      </c>
      <c r="AO34" s="25">
        <v>5869</v>
      </c>
      <c r="AP34" s="25">
        <v>5869</v>
      </c>
      <c r="AQ34" s="22">
        <v>5869</v>
      </c>
    </row>
    <row r="35" spans="2:43" s="26" customFormat="1">
      <c r="B35" s="19" t="s">
        <v>43</v>
      </c>
      <c r="C35" s="106">
        <v>71608</v>
      </c>
      <c r="D35" s="103">
        <v>71608</v>
      </c>
      <c r="E35" s="25">
        <v>71608</v>
      </c>
      <c r="F35" s="25">
        <v>71608</v>
      </c>
      <c r="G35" s="25">
        <v>71608</v>
      </c>
      <c r="H35" s="21">
        <v>71608</v>
      </c>
      <c r="I35" s="25">
        <v>71608</v>
      </c>
      <c r="J35" s="25">
        <v>71608</v>
      </c>
      <c r="K35" s="22">
        <v>71608</v>
      </c>
      <c r="L35" s="21">
        <v>71608</v>
      </c>
      <c r="M35" s="25">
        <v>71608</v>
      </c>
      <c r="N35" s="25">
        <v>71608</v>
      </c>
      <c r="O35" s="22">
        <v>71608</v>
      </c>
      <c r="P35" s="21">
        <v>71608</v>
      </c>
      <c r="Q35" s="25">
        <v>71608</v>
      </c>
      <c r="R35" s="25">
        <v>71608</v>
      </c>
      <c r="S35" s="22">
        <v>71608</v>
      </c>
      <c r="T35" s="21">
        <v>71608</v>
      </c>
      <c r="U35" s="25">
        <v>71608</v>
      </c>
      <c r="V35" s="25">
        <v>71608</v>
      </c>
      <c r="W35" s="22">
        <v>71608</v>
      </c>
      <c r="X35" s="21">
        <v>71608</v>
      </c>
      <c r="Y35" s="25">
        <v>71608</v>
      </c>
      <c r="Z35" s="25">
        <v>71608</v>
      </c>
      <c r="AA35" s="22">
        <v>71608</v>
      </c>
      <c r="AB35" s="21">
        <v>71608</v>
      </c>
      <c r="AC35" s="25">
        <v>71608</v>
      </c>
      <c r="AD35" s="25">
        <v>71608</v>
      </c>
      <c r="AE35" s="22">
        <v>71608</v>
      </c>
      <c r="AF35" s="21">
        <v>71608</v>
      </c>
      <c r="AG35" s="25">
        <v>71608</v>
      </c>
      <c r="AH35" s="25">
        <v>71608</v>
      </c>
      <c r="AI35" s="22">
        <v>71608</v>
      </c>
      <c r="AJ35" s="21">
        <v>71608</v>
      </c>
      <c r="AK35" s="25">
        <v>71608</v>
      </c>
      <c r="AL35" s="25">
        <v>71608</v>
      </c>
      <c r="AM35" s="22">
        <v>71608</v>
      </c>
      <c r="AN35" s="21">
        <v>71608</v>
      </c>
      <c r="AO35" s="25">
        <v>71608</v>
      </c>
      <c r="AP35" s="25">
        <v>71608</v>
      </c>
      <c r="AQ35" s="22">
        <v>71608</v>
      </c>
    </row>
    <row r="36" spans="2:43" s="26" customFormat="1">
      <c r="B36" s="19" t="s">
        <v>44</v>
      </c>
      <c r="C36" s="106">
        <v>1277344</v>
      </c>
      <c r="D36" s="103">
        <v>1274458</v>
      </c>
      <c r="E36" s="25">
        <v>1273625</v>
      </c>
      <c r="F36" s="25">
        <v>1270800</v>
      </c>
      <c r="G36" s="25">
        <v>1061213</v>
      </c>
      <c r="H36" s="21">
        <v>1059614</v>
      </c>
      <c r="I36" s="25">
        <v>1058134</v>
      </c>
      <c r="J36" s="25">
        <v>1056088</v>
      </c>
      <c r="K36" s="22">
        <v>864731</v>
      </c>
      <c r="L36" s="21">
        <v>863166</v>
      </c>
      <c r="M36" s="25">
        <v>848635</v>
      </c>
      <c r="N36" s="25">
        <v>848635</v>
      </c>
      <c r="O36" s="22">
        <v>657555</v>
      </c>
      <c r="P36" s="21">
        <v>657555</v>
      </c>
      <c r="Q36" s="25">
        <v>657555</v>
      </c>
      <c r="R36" s="25">
        <v>657555</v>
      </c>
      <c r="S36" s="22">
        <v>598789</v>
      </c>
      <c r="T36" s="21">
        <v>598789</v>
      </c>
      <c r="U36" s="25">
        <v>598789</v>
      </c>
      <c r="V36" s="25">
        <v>598789</v>
      </c>
      <c r="W36" s="22">
        <v>390730</v>
      </c>
      <c r="X36" s="21">
        <v>390730</v>
      </c>
      <c r="Y36" s="25">
        <v>390730</v>
      </c>
      <c r="Z36" s="25">
        <v>390730</v>
      </c>
      <c r="AA36" s="22">
        <v>364757</v>
      </c>
      <c r="AB36" s="21">
        <v>364757</v>
      </c>
      <c r="AC36" s="25">
        <v>364757</v>
      </c>
      <c r="AD36" s="25">
        <v>364757</v>
      </c>
      <c r="AE36" s="22">
        <v>334898</v>
      </c>
      <c r="AF36" s="21">
        <v>334898</v>
      </c>
      <c r="AG36" s="25">
        <v>334898</v>
      </c>
      <c r="AH36" s="25">
        <v>334898</v>
      </c>
      <c r="AI36" s="22">
        <v>247992</v>
      </c>
      <c r="AJ36" s="21">
        <v>247992</v>
      </c>
      <c r="AK36" s="25">
        <v>247992</v>
      </c>
      <c r="AL36" s="25">
        <v>247992</v>
      </c>
      <c r="AM36" s="22">
        <v>212554</v>
      </c>
      <c r="AN36" s="21">
        <v>212554</v>
      </c>
      <c r="AO36" s="25">
        <v>212554</v>
      </c>
      <c r="AP36" s="25">
        <v>212554</v>
      </c>
      <c r="AQ36" s="22">
        <v>212554</v>
      </c>
    </row>
    <row r="37" spans="2:43" s="26" customFormat="1">
      <c r="B37" s="19" t="s">
        <v>45</v>
      </c>
      <c r="C37" s="20">
        <v>-7858</v>
      </c>
      <c r="D37" s="25">
        <v>-11788</v>
      </c>
      <c r="E37" s="25">
        <v>-11443</v>
      </c>
      <c r="F37" s="25">
        <v>-10670</v>
      </c>
      <c r="G37" s="25">
        <v>-9257</v>
      </c>
      <c r="H37" s="21">
        <v>-4074</v>
      </c>
      <c r="I37" s="25">
        <v>-7729</v>
      </c>
      <c r="J37" s="25">
        <v>-5246</v>
      </c>
      <c r="K37" s="22">
        <v>-7094</v>
      </c>
      <c r="L37" s="21">
        <v>-6595</v>
      </c>
      <c r="M37" s="25">
        <v>-584</v>
      </c>
      <c r="N37" s="25">
        <v>-3662</v>
      </c>
      <c r="O37" s="22">
        <v>-470</v>
      </c>
      <c r="P37" s="21">
        <v>40</v>
      </c>
      <c r="Q37" s="25">
        <v>6640</v>
      </c>
      <c r="R37" s="25">
        <v>1970</v>
      </c>
      <c r="S37" s="22">
        <v>668</v>
      </c>
      <c r="T37" s="21">
        <v>-449</v>
      </c>
      <c r="U37" s="25">
        <v>-256</v>
      </c>
      <c r="V37" s="25">
        <v>-1572</v>
      </c>
      <c r="W37" s="22">
        <v>315</v>
      </c>
      <c r="X37" s="21">
        <v>9</v>
      </c>
      <c r="Y37" s="25">
        <v>-1475</v>
      </c>
      <c r="Z37" s="25">
        <v>-1623</v>
      </c>
      <c r="AA37" s="22">
        <v>-218</v>
      </c>
      <c r="AB37" s="21">
        <v>-23637</v>
      </c>
      <c r="AC37" s="25">
        <v>-20672</v>
      </c>
      <c r="AD37" s="25">
        <v>-23984</v>
      </c>
      <c r="AE37" s="22">
        <v>-21898</v>
      </c>
      <c r="AF37" s="21">
        <v>-21479</v>
      </c>
      <c r="AG37" s="25">
        <v>-24674</v>
      </c>
      <c r="AH37" s="25">
        <v>-17360</v>
      </c>
      <c r="AI37" s="22">
        <v>-17398</v>
      </c>
      <c r="AJ37" s="21">
        <v>-15906</v>
      </c>
      <c r="AK37" s="25">
        <v>-11553</v>
      </c>
      <c r="AL37" s="25">
        <v>-11668</v>
      </c>
      <c r="AM37" s="22">
        <v>-10268</v>
      </c>
      <c r="AN37" s="21">
        <v>-4945</v>
      </c>
      <c r="AO37" s="25">
        <v>-3659</v>
      </c>
      <c r="AP37" s="25">
        <v>954</v>
      </c>
      <c r="AQ37" s="22">
        <v>-1231</v>
      </c>
    </row>
    <row r="38" spans="2:43" s="26" customFormat="1">
      <c r="B38" s="19" t="s">
        <v>46</v>
      </c>
      <c r="C38" s="106">
        <v>1194354</v>
      </c>
      <c r="D38" s="103">
        <v>659484</v>
      </c>
      <c r="E38" s="25">
        <v>478585</v>
      </c>
      <c r="F38" s="25">
        <v>425364</v>
      </c>
      <c r="G38" s="25">
        <v>1064441</v>
      </c>
      <c r="H38" s="21">
        <v>870495</v>
      </c>
      <c r="I38" s="25">
        <v>680468</v>
      </c>
      <c r="J38" s="25">
        <v>476570</v>
      </c>
      <c r="K38" s="22">
        <v>1103374</v>
      </c>
      <c r="L38" s="21">
        <v>800606</v>
      </c>
      <c r="M38" s="25">
        <v>551557</v>
      </c>
      <c r="N38" s="25">
        <v>430430</v>
      </c>
      <c r="O38" s="22">
        <v>1073811</v>
      </c>
      <c r="P38" s="21">
        <v>770997</v>
      </c>
      <c r="Q38" s="25">
        <v>720691</v>
      </c>
      <c r="R38" s="25">
        <v>484472</v>
      </c>
      <c r="S38" s="22">
        <v>492382</v>
      </c>
      <c r="T38" s="21">
        <v>239743</v>
      </c>
      <c r="U38" s="25">
        <v>171224</v>
      </c>
      <c r="V38" s="25">
        <v>66919</v>
      </c>
      <c r="W38" s="22">
        <v>509140</v>
      </c>
      <c r="X38" s="21">
        <v>420089</v>
      </c>
      <c r="Y38" s="25">
        <v>379858</v>
      </c>
      <c r="Z38" s="25">
        <v>311461</v>
      </c>
      <c r="AA38" s="22">
        <v>248116</v>
      </c>
      <c r="AB38" s="21">
        <v>72147</v>
      </c>
      <c r="AC38" s="25">
        <v>35109</v>
      </c>
      <c r="AD38" s="25">
        <v>19602</v>
      </c>
      <c r="AE38" s="22">
        <v>65023</v>
      </c>
      <c r="AF38" s="21">
        <v>64260</v>
      </c>
      <c r="AG38" s="25">
        <v>101371</v>
      </c>
      <c r="AH38" s="25">
        <v>104275</v>
      </c>
      <c r="AI38" s="22">
        <v>150266</v>
      </c>
      <c r="AJ38" s="21">
        <v>90779</v>
      </c>
      <c r="AK38" s="25">
        <v>58506</v>
      </c>
      <c r="AL38" s="25">
        <v>27164</v>
      </c>
      <c r="AM38" s="22">
        <v>81447</v>
      </c>
      <c r="AN38" s="21">
        <v>70807</v>
      </c>
      <c r="AO38" s="25">
        <v>20385</v>
      </c>
      <c r="AP38" s="25">
        <v>16147</v>
      </c>
      <c r="AQ38" s="22">
        <v>24959</v>
      </c>
    </row>
    <row r="39" spans="2:43" s="26" customFormat="1">
      <c r="B39" s="70" t="s">
        <v>47</v>
      </c>
      <c r="C39" s="111">
        <v>2541326</v>
      </c>
      <c r="D39" s="73">
        <f t="shared" ref="D39:J39" si="25">SUM(D34:D38)</f>
        <v>1999640</v>
      </c>
      <c r="E39" s="73">
        <v>1818253</v>
      </c>
      <c r="F39" s="73">
        <f t="shared" si="25"/>
        <v>1762980</v>
      </c>
      <c r="G39" s="73">
        <f t="shared" si="25"/>
        <v>2193883</v>
      </c>
      <c r="H39" s="72">
        <f t="shared" si="25"/>
        <v>2003521</v>
      </c>
      <c r="I39" s="73">
        <f t="shared" si="25"/>
        <v>1808359</v>
      </c>
      <c r="J39" s="73">
        <f t="shared" si="25"/>
        <v>1604898</v>
      </c>
      <c r="K39" s="74">
        <f t="shared" ref="K39" si="26">SUM(K34:K38)</f>
        <v>2038497</v>
      </c>
      <c r="L39" s="72">
        <f t="shared" ref="L39:O39" si="27">SUM(L34:L38)</f>
        <v>1734663</v>
      </c>
      <c r="M39" s="73">
        <f t="shared" si="27"/>
        <v>1477085</v>
      </c>
      <c r="N39" s="73">
        <f t="shared" si="27"/>
        <v>1352880</v>
      </c>
      <c r="O39" s="74">
        <f t="shared" si="27"/>
        <v>1808373</v>
      </c>
      <c r="P39" s="72">
        <f t="shared" ref="P39:S39" si="28">SUM(P34:P38)</f>
        <v>1506069</v>
      </c>
      <c r="Q39" s="73">
        <f t="shared" si="28"/>
        <v>1462363</v>
      </c>
      <c r="R39" s="73">
        <f t="shared" si="28"/>
        <v>1221474</v>
      </c>
      <c r="S39" s="74">
        <f t="shared" si="28"/>
        <v>1169316</v>
      </c>
      <c r="T39" s="72">
        <f t="shared" ref="T39:W39" si="29">SUM(T34:T38)</f>
        <v>915560</v>
      </c>
      <c r="U39" s="73">
        <f t="shared" si="29"/>
        <v>847234</v>
      </c>
      <c r="V39" s="73">
        <f t="shared" si="29"/>
        <v>741613</v>
      </c>
      <c r="W39" s="74">
        <f t="shared" si="29"/>
        <v>977662</v>
      </c>
      <c r="X39" s="72">
        <f t="shared" ref="X39:AA39" si="30">SUM(X34:X38)</f>
        <v>888305</v>
      </c>
      <c r="Y39" s="73">
        <f t="shared" si="30"/>
        <v>846590</v>
      </c>
      <c r="Z39" s="73">
        <f t="shared" si="30"/>
        <v>778045</v>
      </c>
      <c r="AA39" s="74">
        <f t="shared" si="30"/>
        <v>690132</v>
      </c>
      <c r="AB39" s="72">
        <f t="shared" ref="AB39:AE39" si="31">SUM(AB34:AB38)</f>
        <v>490744</v>
      </c>
      <c r="AC39" s="73">
        <f t="shared" si="31"/>
        <v>456671</v>
      </c>
      <c r="AD39" s="73">
        <f t="shared" si="31"/>
        <v>437852</v>
      </c>
      <c r="AE39" s="74">
        <f t="shared" si="31"/>
        <v>455500</v>
      </c>
      <c r="AF39" s="72">
        <f t="shared" ref="AF39:AI39" si="32">SUM(AF34:AF38)</f>
        <v>455156</v>
      </c>
      <c r="AG39" s="73">
        <f t="shared" si="32"/>
        <v>489072</v>
      </c>
      <c r="AH39" s="73">
        <f t="shared" si="32"/>
        <v>499290</v>
      </c>
      <c r="AI39" s="74">
        <f t="shared" si="32"/>
        <v>458337</v>
      </c>
      <c r="AJ39" s="72">
        <f t="shared" ref="AJ39:AM39" si="33">SUM(AJ34:AJ38)</f>
        <v>400342</v>
      </c>
      <c r="AK39" s="73">
        <f t="shared" si="33"/>
        <v>372422</v>
      </c>
      <c r="AL39" s="73">
        <f t="shared" si="33"/>
        <v>340965</v>
      </c>
      <c r="AM39" s="74">
        <f t="shared" si="33"/>
        <v>361210</v>
      </c>
      <c r="AN39" s="72">
        <f t="shared" ref="AN39:AQ39" si="34">SUM(AN34:AN38)</f>
        <v>355893</v>
      </c>
      <c r="AO39" s="73">
        <f t="shared" si="34"/>
        <v>306757</v>
      </c>
      <c r="AP39" s="73">
        <f t="shared" si="34"/>
        <v>307132</v>
      </c>
      <c r="AQ39" s="74">
        <f t="shared" si="34"/>
        <v>313759</v>
      </c>
    </row>
    <row r="40" spans="2:43" s="26" customFormat="1">
      <c r="B40" s="70" t="s">
        <v>113</v>
      </c>
      <c r="C40" s="111">
        <v>1048</v>
      </c>
      <c r="D40" s="70">
        <v>857</v>
      </c>
      <c r="E40" s="73">
        <v>847</v>
      </c>
      <c r="F40" s="73">
        <v>227</v>
      </c>
      <c r="G40" s="73">
        <v>232</v>
      </c>
      <c r="H40" s="72">
        <v>120</v>
      </c>
      <c r="I40" s="73">
        <v>143</v>
      </c>
      <c r="J40" s="73">
        <v>212</v>
      </c>
      <c r="K40" s="74">
        <v>249</v>
      </c>
      <c r="L40" s="72">
        <v>0</v>
      </c>
      <c r="M40" s="73">
        <v>0</v>
      </c>
      <c r="N40" s="73">
        <v>0</v>
      </c>
      <c r="O40" s="74">
        <v>0</v>
      </c>
      <c r="P40" s="72">
        <v>0</v>
      </c>
      <c r="Q40" s="73">
        <v>0</v>
      </c>
      <c r="R40" s="73">
        <v>0</v>
      </c>
      <c r="S40" s="74">
        <v>0</v>
      </c>
      <c r="T40" s="72">
        <v>0</v>
      </c>
      <c r="U40" s="73">
        <v>0</v>
      </c>
      <c r="V40" s="73">
        <v>0</v>
      </c>
      <c r="W40" s="74">
        <v>0</v>
      </c>
      <c r="X40" s="72">
        <v>0</v>
      </c>
      <c r="Y40" s="73">
        <v>0</v>
      </c>
      <c r="Z40" s="73">
        <v>0</v>
      </c>
      <c r="AA40" s="74">
        <v>0</v>
      </c>
      <c r="AB40" s="72">
        <v>0</v>
      </c>
      <c r="AC40" s="73">
        <v>0</v>
      </c>
      <c r="AD40" s="73">
        <v>0</v>
      </c>
      <c r="AE40" s="74">
        <v>0</v>
      </c>
      <c r="AF40" s="72">
        <v>0</v>
      </c>
      <c r="AG40" s="73">
        <v>0</v>
      </c>
      <c r="AH40" s="73">
        <v>0</v>
      </c>
      <c r="AI40" s="74">
        <v>0</v>
      </c>
      <c r="AJ40" s="72">
        <v>0</v>
      </c>
      <c r="AK40" s="73">
        <v>0</v>
      </c>
      <c r="AL40" s="73">
        <v>0</v>
      </c>
      <c r="AM40" s="74">
        <v>0</v>
      </c>
      <c r="AN40" s="72">
        <v>0</v>
      </c>
      <c r="AO40" s="73">
        <v>0</v>
      </c>
      <c r="AP40" s="73">
        <v>0</v>
      </c>
      <c r="AQ40" s="74">
        <v>0</v>
      </c>
    </row>
    <row r="41" spans="2:43" s="26" customFormat="1">
      <c r="B41" s="70" t="s">
        <v>48</v>
      </c>
      <c r="C41" s="111">
        <v>2542374</v>
      </c>
      <c r="D41" s="73">
        <f>D39+D40</f>
        <v>2000497</v>
      </c>
      <c r="E41" s="73">
        <v>1819100</v>
      </c>
      <c r="F41" s="73">
        <f>F39+F40</f>
        <v>1763207</v>
      </c>
      <c r="G41" s="73">
        <f>G39+G40</f>
        <v>2194115</v>
      </c>
      <c r="H41" s="72">
        <f>H39+H40</f>
        <v>2003641</v>
      </c>
      <c r="I41" s="73">
        <f t="shared" ref="I41" si="35">I39+I40</f>
        <v>1808502</v>
      </c>
      <c r="J41" s="73">
        <f t="shared" ref="J41:AQ41" si="36">J39+J40</f>
        <v>1605110</v>
      </c>
      <c r="K41" s="74">
        <f t="shared" si="36"/>
        <v>2038746</v>
      </c>
      <c r="L41" s="72">
        <f t="shared" si="36"/>
        <v>1734663</v>
      </c>
      <c r="M41" s="73">
        <f t="shared" si="36"/>
        <v>1477085</v>
      </c>
      <c r="N41" s="73">
        <f t="shared" si="36"/>
        <v>1352880</v>
      </c>
      <c r="O41" s="74">
        <f t="shared" si="36"/>
        <v>1808373</v>
      </c>
      <c r="P41" s="72">
        <f t="shared" si="36"/>
        <v>1506069</v>
      </c>
      <c r="Q41" s="73">
        <f t="shared" si="36"/>
        <v>1462363</v>
      </c>
      <c r="R41" s="73">
        <f t="shared" si="36"/>
        <v>1221474</v>
      </c>
      <c r="S41" s="74">
        <f t="shared" si="36"/>
        <v>1169316</v>
      </c>
      <c r="T41" s="72">
        <f t="shared" si="36"/>
        <v>915560</v>
      </c>
      <c r="U41" s="73">
        <f t="shared" si="36"/>
        <v>847234</v>
      </c>
      <c r="V41" s="73">
        <f t="shared" si="36"/>
        <v>741613</v>
      </c>
      <c r="W41" s="74">
        <f t="shared" si="36"/>
        <v>977662</v>
      </c>
      <c r="X41" s="72">
        <f t="shared" si="36"/>
        <v>888305</v>
      </c>
      <c r="Y41" s="73">
        <f t="shared" si="36"/>
        <v>846590</v>
      </c>
      <c r="Z41" s="73">
        <f t="shared" si="36"/>
        <v>778045</v>
      </c>
      <c r="AA41" s="74">
        <f t="shared" si="36"/>
        <v>690132</v>
      </c>
      <c r="AB41" s="72">
        <f t="shared" si="36"/>
        <v>490744</v>
      </c>
      <c r="AC41" s="73">
        <f t="shared" si="36"/>
        <v>456671</v>
      </c>
      <c r="AD41" s="73">
        <f t="shared" si="36"/>
        <v>437852</v>
      </c>
      <c r="AE41" s="74">
        <f t="shared" si="36"/>
        <v>455500</v>
      </c>
      <c r="AF41" s="72">
        <f t="shared" si="36"/>
        <v>455156</v>
      </c>
      <c r="AG41" s="73">
        <f t="shared" si="36"/>
        <v>489072</v>
      </c>
      <c r="AH41" s="73">
        <f t="shared" si="36"/>
        <v>499290</v>
      </c>
      <c r="AI41" s="74">
        <f t="shared" si="36"/>
        <v>458337</v>
      </c>
      <c r="AJ41" s="72">
        <f t="shared" si="36"/>
        <v>400342</v>
      </c>
      <c r="AK41" s="73">
        <f t="shared" si="36"/>
        <v>372422</v>
      </c>
      <c r="AL41" s="73">
        <f t="shared" si="36"/>
        <v>340965</v>
      </c>
      <c r="AM41" s="74">
        <f t="shared" si="36"/>
        <v>361210</v>
      </c>
      <c r="AN41" s="72">
        <f t="shared" si="36"/>
        <v>355893</v>
      </c>
      <c r="AO41" s="73">
        <f t="shared" si="36"/>
        <v>306757</v>
      </c>
      <c r="AP41" s="73">
        <f t="shared" si="36"/>
        <v>307132</v>
      </c>
      <c r="AQ41" s="74">
        <f t="shared" si="36"/>
        <v>313759</v>
      </c>
    </row>
    <row r="42" spans="2:43" s="26" customFormat="1">
      <c r="B42" s="67"/>
      <c r="C42" s="98"/>
      <c r="D42" s="67"/>
      <c r="E42" s="77"/>
      <c r="F42" s="77"/>
      <c r="G42" s="77"/>
      <c r="H42" s="76"/>
      <c r="I42" s="77"/>
      <c r="J42" s="77"/>
      <c r="K42" s="78"/>
      <c r="L42" s="76"/>
      <c r="M42" s="77"/>
      <c r="N42" s="77"/>
      <c r="O42" s="78"/>
      <c r="P42" s="76"/>
      <c r="Q42" s="77"/>
      <c r="R42" s="77"/>
      <c r="S42" s="78"/>
      <c r="T42" s="76"/>
      <c r="U42" s="77"/>
      <c r="V42" s="77"/>
      <c r="W42" s="78"/>
      <c r="X42" s="76"/>
      <c r="Y42" s="77"/>
      <c r="Z42" s="77"/>
      <c r="AA42" s="78"/>
      <c r="AB42" s="76"/>
      <c r="AC42" s="77"/>
      <c r="AD42" s="77"/>
      <c r="AE42" s="78"/>
      <c r="AF42" s="76"/>
      <c r="AG42" s="77"/>
      <c r="AH42" s="77"/>
      <c r="AI42" s="78"/>
      <c r="AJ42" s="76"/>
      <c r="AK42" s="77"/>
      <c r="AL42" s="77"/>
      <c r="AM42" s="78"/>
      <c r="AN42" s="76"/>
      <c r="AO42" s="77"/>
      <c r="AP42" s="77"/>
      <c r="AQ42" s="78"/>
    </row>
    <row r="43" spans="2:43" s="26" customFormat="1">
      <c r="B43" s="70" t="s">
        <v>49</v>
      </c>
      <c r="C43" s="111">
        <v>9854569</v>
      </c>
      <c r="D43" s="73">
        <f t="shared" ref="D43:F43" si="37">D41+D31</f>
        <v>9086667</v>
      </c>
      <c r="E43" s="73">
        <v>8327538</v>
      </c>
      <c r="F43" s="73">
        <f t="shared" si="37"/>
        <v>7316422</v>
      </c>
      <c r="G43" s="73">
        <f t="shared" ref="G43:H43" si="38">G41+G31</f>
        <v>7463817</v>
      </c>
      <c r="H43" s="72">
        <f t="shared" si="38"/>
        <v>6645632</v>
      </c>
      <c r="I43" s="73">
        <f t="shared" ref="I43" si="39">I41+I31</f>
        <v>5737812</v>
      </c>
      <c r="J43" s="73">
        <f t="shared" ref="J43:AE43" si="40">J41+J31</f>
        <v>5197507</v>
      </c>
      <c r="K43" s="74">
        <f t="shared" si="40"/>
        <v>5375573</v>
      </c>
      <c r="L43" s="72">
        <f t="shared" ref="L43:O43" si="41">L41+L31</f>
        <v>4688658</v>
      </c>
      <c r="M43" s="73">
        <f t="shared" si="41"/>
        <v>4403363</v>
      </c>
      <c r="N43" s="73">
        <f t="shared" si="41"/>
        <v>4662942</v>
      </c>
      <c r="O43" s="74">
        <f t="shared" si="41"/>
        <v>4514440</v>
      </c>
      <c r="P43" s="72">
        <f t="shared" ref="P43:S43" si="42">P41+P31</f>
        <v>4114323</v>
      </c>
      <c r="Q43" s="73">
        <f t="shared" si="42"/>
        <v>4176511</v>
      </c>
      <c r="R43" s="73">
        <f t="shared" si="42"/>
        <v>3678167</v>
      </c>
      <c r="S43" s="74">
        <f t="shared" si="42"/>
        <v>3626672</v>
      </c>
      <c r="T43" s="72">
        <f t="shared" si="40"/>
        <v>3147743</v>
      </c>
      <c r="U43" s="73">
        <f t="shared" si="40"/>
        <v>2979417</v>
      </c>
      <c r="V43" s="73">
        <f t="shared" si="40"/>
        <v>2720700</v>
      </c>
      <c r="W43" s="74">
        <f t="shared" si="40"/>
        <v>2813364</v>
      </c>
      <c r="X43" s="72">
        <f t="shared" ref="X43:AA43" si="43">X41+X31</f>
        <v>2283526</v>
      </c>
      <c r="Y43" s="73">
        <f t="shared" si="43"/>
        <v>1942981</v>
      </c>
      <c r="Z43" s="73">
        <f t="shared" si="43"/>
        <v>1776845</v>
      </c>
      <c r="AA43" s="74">
        <f t="shared" si="43"/>
        <v>1506293</v>
      </c>
      <c r="AB43" s="72">
        <f t="shared" si="40"/>
        <v>1138900</v>
      </c>
      <c r="AC43" s="73">
        <f t="shared" si="40"/>
        <v>1106757</v>
      </c>
      <c r="AD43" s="73">
        <f t="shared" si="40"/>
        <v>1027568</v>
      </c>
      <c r="AE43" s="74">
        <f t="shared" si="40"/>
        <v>1022614</v>
      </c>
      <c r="AF43" s="72">
        <f t="shared" ref="AF43:AI43" si="44">AF41+AF31</f>
        <v>970074</v>
      </c>
      <c r="AG43" s="73">
        <f t="shared" si="44"/>
        <v>972007</v>
      </c>
      <c r="AH43" s="73">
        <f t="shared" si="44"/>
        <v>979385</v>
      </c>
      <c r="AI43" s="74">
        <f t="shared" si="44"/>
        <v>919848</v>
      </c>
      <c r="AJ43" s="72">
        <f>AJ31+AJ41</f>
        <v>897704</v>
      </c>
      <c r="AK43" s="73">
        <f t="shared" ref="AK43:AM43" si="45">AK31+AK41</f>
        <v>901898</v>
      </c>
      <c r="AL43" s="73">
        <f t="shared" si="45"/>
        <v>862908</v>
      </c>
      <c r="AM43" s="74">
        <f t="shared" si="45"/>
        <v>848354</v>
      </c>
      <c r="AN43" s="72">
        <f>AN31+AN41</f>
        <v>796753</v>
      </c>
      <c r="AO43" s="73">
        <f t="shared" ref="AO43:AQ43" si="46">AO31+AO41</f>
        <v>693644</v>
      </c>
      <c r="AP43" s="73">
        <f t="shared" si="46"/>
        <v>671269</v>
      </c>
      <c r="AQ43" s="74">
        <f t="shared" si="46"/>
        <v>717308</v>
      </c>
    </row>
    <row r="44" spans="2:43" s="26" customFormat="1" ht="6.75" customHeight="1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79"/>
      <c r="AD44" s="79"/>
      <c r="AE44" s="80"/>
      <c r="AF44" s="79"/>
      <c r="AG44" s="80"/>
      <c r="AH44" s="80"/>
      <c r="AI44" s="79"/>
      <c r="AJ44" s="80"/>
      <c r="AK44" s="79"/>
      <c r="AL44" s="79"/>
      <c r="AM44" s="80"/>
      <c r="AN44" s="80"/>
      <c r="AO44" s="80"/>
      <c r="AP44" s="80"/>
      <c r="AQ44" s="79"/>
    </row>
    <row r="45" spans="2:43" s="26" customFormat="1" ht="14.25" customHeight="1">
      <c r="B45" s="81" t="s">
        <v>151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C45" s="81"/>
      <c r="AD45" s="81"/>
      <c r="AF45" s="81"/>
      <c r="AI45" s="81"/>
      <c r="AK45" s="81"/>
      <c r="AL45" s="81"/>
    </row>
    <row r="46" spans="2:43" s="26" customFormat="1"/>
    <row r="47" spans="2:43" s="26" customFormat="1" ht="18">
      <c r="B47" s="82" t="s">
        <v>136</v>
      </c>
      <c r="C47" s="82"/>
      <c r="D47" s="82"/>
    </row>
    <row r="48" spans="2:43" s="26" customFormat="1">
      <c r="B48" s="115" t="s">
        <v>65</v>
      </c>
      <c r="C48" s="5"/>
      <c r="D48" s="5"/>
      <c r="E48" s="5"/>
      <c r="F48" s="5"/>
      <c r="G48" s="5"/>
      <c r="H48" s="11"/>
      <c r="I48" s="5"/>
      <c r="J48" s="5"/>
      <c r="K48" s="12"/>
      <c r="L48" s="11"/>
      <c r="M48" s="5"/>
      <c r="N48" s="5"/>
      <c r="O48" s="12"/>
      <c r="P48" s="11"/>
      <c r="Q48" s="5"/>
      <c r="R48" s="5"/>
      <c r="S48" s="12"/>
      <c r="T48" s="11"/>
      <c r="U48" s="5"/>
      <c r="V48" s="5"/>
      <c r="W48" s="12"/>
      <c r="X48" s="11"/>
      <c r="Y48" s="5"/>
      <c r="Z48" s="5"/>
      <c r="AA48" s="12"/>
      <c r="AB48" s="11"/>
      <c r="AC48" s="5"/>
      <c r="AD48" s="5"/>
      <c r="AE48" s="12"/>
      <c r="AF48" s="11"/>
      <c r="AG48" s="5"/>
      <c r="AH48" s="5"/>
      <c r="AI48" s="12"/>
      <c r="AJ48" s="11"/>
      <c r="AK48" s="5"/>
      <c r="AL48" s="5"/>
      <c r="AM48" s="12"/>
      <c r="AN48" s="11"/>
      <c r="AO48" s="5"/>
      <c r="AP48" s="5"/>
      <c r="AQ48" s="12"/>
    </row>
    <row r="49" spans="2:43" s="26" customFormat="1">
      <c r="B49" s="116"/>
      <c r="C49" s="10">
        <v>46112</v>
      </c>
      <c r="D49" s="10">
        <v>46022</v>
      </c>
      <c r="E49" s="10">
        <v>45930</v>
      </c>
      <c r="F49" s="10">
        <v>45838</v>
      </c>
      <c r="G49" s="10">
        <v>45747</v>
      </c>
      <c r="H49" s="13">
        <v>45657</v>
      </c>
      <c r="I49" s="10">
        <v>45565</v>
      </c>
      <c r="J49" s="10">
        <v>45473</v>
      </c>
      <c r="K49" s="14">
        <v>45382</v>
      </c>
      <c r="L49" s="13">
        <v>45291</v>
      </c>
      <c r="M49" s="10">
        <v>45199</v>
      </c>
      <c r="N49" s="10">
        <v>45107</v>
      </c>
      <c r="O49" s="14">
        <v>45016</v>
      </c>
      <c r="P49" s="13">
        <v>44926</v>
      </c>
      <c r="Q49" s="10">
        <v>44834</v>
      </c>
      <c r="R49" s="10">
        <v>44742</v>
      </c>
      <c r="S49" s="14">
        <v>44651</v>
      </c>
      <c r="T49" s="13">
        <v>44561</v>
      </c>
      <c r="U49" s="10">
        <v>44469</v>
      </c>
      <c r="V49" s="10">
        <v>44377</v>
      </c>
      <c r="W49" s="14">
        <v>44286</v>
      </c>
      <c r="X49" s="13">
        <v>44196</v>
      </c>
      <c r="Y49" s="10">
        <v>44104</v>
      </c>
      <c r="Z49" s="10">
        <v>44012</v>
      </c>
      <c r="AA49" s="14">
        <v>43921</v>
      </c>
      <c r="AB49" s="13">
        <v>43830</v>
      </c>
      <c r="AC49" s="10">
        <v>43738</v>
      </c>
      <c r="AD49" s="10">
        <v>43646</v>
      </c>
      <c r="AE49" s="14">
        <v>43555</v>
      </c>
      <c r="AF49" s="13">
        <v>43465</v>
      </c>
      <c r="AG49" s="10">
        <v>43373</v>
      </c>
      <c r="AH49" s="10">
        <v>43281</v>
      </c>
      <c r="AI49" s="14">
        <v>43190</v>
      </c>
      <c r="AJ49" s="13">
        <v>43100</v>
      </c>
      <c r="AK49" s="10">
        <v>43008</v>
      </c>
      <c r="AL49" s="10">
        <v>42916</v>
      </c>
      <c r="AM49" s="14">
        <v>42825</v>
      </c>
      <c r="AN49" s="13" t="s">
        <v>63</v>
      </c>
      <c r="AO49" s="10">
        <v>42643</v>
      </c>
      <c r="AP49" s="10">
        <v>42551</v>
      </c>
      <c r="AQ49" s="14">
        <v>42460</v>
      </c>
    </row>
    <row r="50" spans="2:43" s="26" customFormat="1">
      <c r="B50" s="19" t="s">
        <v>137</v>
      </c>
      <c r="C50" s="114">
        <f>10798074023.02/1000</f>
        <v>10798074.023020001</v>
      </c>
      <c r="D50" s="103">
        <v>12654451.354900399</v>
      </c>
      <c r="E50" s="25">
        <v>14257662.247950589</v>
      </c>
      <c r="F50" s="25">
        <v>11656147.964899939</v>
      </c>
      <c r="G50" s="25">
        <v>10627573.420379616</v>
      </c>
      <c r="H50" s="21">
        <v>10027358.042820022</v>
      </c>
      <c r="I50" s="25">
        <v>9610214.1233200915</v>
      </c>
      <c r="J50" s="25">
        <v>9287008.7541299462</v>
      </c>
      <c r="K50" s="22">
        <v>10029329.885759864</v>
      </c>
      <c r="L50" s="21">
        <v>8911488.3271801174</v>
      </c>
      <c r="M50" s="25">
        <v>10006795.188260162</v>
      </c>
      <c r="N50" s="25">
        <v>9660507.7913100626</v>
      </c>
      <c r="O50" s="22">
        <v>8533193.9818101525</v>
      </c>
      <c r="P50" s="21">
        <v>7353831.6506899381</v>
      </c>
      <c r="Q50" s="25">
        <v>7337792.8166499157</v>
      </c>
      <c r="R50" s="25">
        <v>8018138</v>
      </c>
      <c r="S50" s="22">
        <v>7261720.4460300766</v>
      </c>
      <c r="T50" s="21">
        <v>7857897.2538900189</v>
      </c>
      <c r="U50" s="25">
        <v>8679456.1090000737</v>
      </c>
      <c r="V50" s="25">
        <v>8940801.9807099644</v>
      </c>
      <c r="W50" s="22">
        <v>9944036.3695208244</v>
      </c>
      <c r="X50" s="21">
        <v>6743974.2895833757</v>
      </c>
      <c r="Y50" s="25">
        <v>4734719.3833500268</v>
      </c>
      <c r="Z50" s="25">
        <v>3993631</v>
      </c>
      <c r="AA50" s="22">
        <v>2311786</v>
      </c>
      <c r="AB50" s="21">
        <v>4435351</v>
      </c>
      <c r="AC50" s="25">
        <v>4165617</v>
      </c>
      <c r="AD50" s="25">
        <v>3802428</v>
      </c>
      <c r="AE50" s="22">
        <v>3323030</v>
      </c>
      <c r="AF50" s="21">
        <v>2569397</v>
      </c>
      <c r="AG50" s="25">
        <v>2803049</v>
      </c>
      <c r="AH50" s="25">
        <v>3474348</v>
      </c>
      <c r="AI50" s="22">
        <v>3349389</v>
      </c>
      <c r="AJ50" s="21">
        <v>3946555</v>
      </c>
      <c r="AK50" s="25">
        <v>4260879</v>
      </c>
      <c r="AL50" s="25">
        <v>4036053</v>
      </c>
      <c r="AM50" s="22">
        <v>3886228</v>
      </c>
      <c r="AN50" s="21">
        <v>3071955</v>
      </c>
      <c r="AO50" s="25">
        <v>2733931</v>
      </c>
      <c r="AP50" s="25">
        <v>1923974</v>
      </c>
      <c r="AQ50" s="22">
        <v>2052475</v>
      </c>
    </row>
    <row r="51" spans="2:43" s="26" customFormat="1">
      <c r="B51" s="19" t="s">
        <v>157</v>
      </c>
      <c r="C51" s="106">
        <v>32860714.368625998</v>
      </c>
      <c r="D51" s="103">
        <v>27283557</v>
      </c>
      <c r="E51" s="25">
        <v>23802311</v>
      </c>
      <c r="F51" s="25">
        <v>19355412</v>
      </c>
      <c r="G51" s="25">
        <v>15456875</v>
      </c>
      <c r="H51" s="21">
        <v>13681597</v>
      </c>
      <c r="I51" s="25">
        <v>9501739</v>
      </c>
      <c r="J51" s="25">
        <v>9501739</v>
      </c>
      <c r="K51" s="22">
        <v>7806590</v>
      </c>
      <c r="L51" s="21">
        <v>6147595</v>
      </c>
      <c r="M51" s="25">
        <v>4883709</v>
      </c>
      <c r="N51" s="25">
        <v>4883709</v>
      </c>
      <c r="O51" s="22">
        <v>4298087</v>
      </c>
      <c r="P51" s="21">
        <v>3445397</v>
      </c>
      <c r="Q51" s="25">
        <v>3182772</v>
      </c>
      <c r="R51" s="25">
        <v>2890647</v>
      </c>
      <c r="S51" s="22">
        <v>2890346</v>
      </c>
      <c r="T51" s="21">
        <v>2452320</v>
      </c>
      <c r="U51" s="25">
        <v>1798815</v>
      </c>
      <c r="V51" s="25">
        <v>1798815</v>
      </c>
      <c r="W51" s="22">
        <v>1406920</v>
      </c>
      <c r="X51" s="21">
        <v>871596</v>
      </c>
      <c r="Y51" s="25">
        <v>477320</v>
      </c>
      <c r="Z51" s="25">
        <v>385782</v>
      </c>
      <c r="AA51" s="22">
        <v>178019</v>
      </c>
      <c r="AB51" s="21">
        <v>109185</v>
      </c>
      <c r="AC51" s="25">
        <v>109185</v>
      </c>
      <c r="AD51" s="25">
        <v>83445</v>
      </c>
      <c r="AE51" s="22">
        <v>62348</v>
      </c>
      <c r="AF51" s="21">
        <v>37079</v>
      </c>
      <c r="AG51" s="25">
        <v>32190</v>
      </c>
      <c r="AH51" s="25">
        <v>16399</v>
      </c>
      <c r="AI51" s="22">
        <v>1890</v>
      </c>
      <c r="AJ51" s="21">
        <v>412</v>
      </c>
      <c r="AK51" s="25">
        <v>436</v>
      </c>
      <c r="AL51" s="25">
        <v>518</v>
      </c>
      <c r="AM51" s="22">
        <v>547</v>
      </c>
      <c r="AN51" s="21">
        <v>542</v>
      </c>
      <c r="AO51" s="25">
        <v>548</v>
      </c>
      <c r="AP51" s="25">
        <v>561</v>
      </c>
      <c r="AQ51" s="22">
        <v>571</v>
      </c>
    </row>
    <row r="52" spans="2:43" s="26" customFormat="1">
      <c r="B52" s="19" t="s">
        <v>51</v>
      </c>
      <c r="C52" s="20">
        <f>C9</f>
        <v>5934234</v>
      </c>
      <c r="D52" s="25">
        <f>D9</f>
        <v>5864393.2599999998</v>
      </c>
      <c r="E52" s="25">
        <v>5352306</v>
      </c>
      <c r="F52" s="25">
        <f>F9</f>
        <v>4584514</v>
      </c>
      <c r="G52" s="25">
        <f>G9</f>
        <v>4182768</v>
      </c>
      <c r="H52" s="21">
        <f t="shared" ref="H52:AQ52" si="47">H9</f>
        <v>3751303</v>
      </c>
      <c r="I52" s="25">
        <f t="shared" si="47"/>
        <v>3170770</v>
      </c>
      <c r="J52" s="25">
        <f t="shared" si="47"/>
        <v>2769002</v>
      </c>
      <c r="K52" s="22">
        <f t="shared" si="47"/>
        <v>2441023</v>
      </c>
      <c r="L52" s="21">
        <f t="shared" si="47"/>
        <v>2266859</v>
      </c>
      <c r="M52" s="25">
        <f t="shared" si="47"/>
        <v>2077824</v>
      </c>
      <c r="N52" s="25">
        <f t="shared" si="47"/>
        <v>1961190</v>
      </c>
      <c r="O52" s="22">
        <f t="shared" si="47"/>
        <v>1927341</v>
      </c>
      <c r="P52" s="21">
        <f t="shared" si="47"/>
        <v>1938503</v>
      </c>
      <c r="Q52" s="25">
        <f t="shared" si="47"/>
        <v>1861750</v>
      </c>
      <c r="R52" s="25">
        <f t="shared" si="47"/>
        <v>1724274</v>
      </c>
      <c r="S52" s="22">
        <f t="shared" si="47"/>
        <v>1888488</v>
      </c>
      <c r="T52" s="21">
        <f t="shared" si="47"/>
        <v>1786869</v>
      </c>
      <c r="U52" s="25">
        <f t="shared" si="47"/>
        <v>1601152</v>
      </c>
      <c r="V52" s="25">
        <f t="shared" si="47"/>
        <v>1491530</v>
      </c>
      <c r="W52" s="22">
        <f t="shared" si="47"/>
        <v>1345261</v>
      </c>
      <c r="X52" s="21">
        <f t="shared" si="47"/>
        <v>1033602</v>
      </c>
      <c r="Y52" s="25">
        <f t="shared" si="47"/>
        <v>804052</v>
      </c>
      <c r="Z52" s="25">
        <f t="shared" si="47"/>
        <v>746474</v>
      </c>
      <c r="AA52" s="22">
        <f t="shared" si="47"/>
        <v>539388</v>
      </c>
      <c r="AB52" s="21">
        <f t="shared" si="47"/>
        <v>470845</v>
      </c>
      <c r="AC52" s="25">
        <f t="shared" si="47"/>
        <v>481203</v>
      </c>
      <c r="AD52" s="25">
        <f t="shared" si="47"/>
        <v>443576</v>
      </c>
      <c r="AE52" s="22">
        <f t="shared" si="47"/>
        <v>416699</v>
      </c>
      <c r="AF52" s="21">
        <f t="shared" si="47"/>
        <v>363908</v>
      </c>
      <c r="AG52" s="25">
        <f t="shared" si="47"/>
        <v>340127</v>
      </c>
      <c r="AH52" s="25">
        <f t="shared" si="47"/>
        <v>336753</v>
      </c>
      <c r="AI52" s="22">
        <f t="shared" si="47"/>
        <v>326372</v>
      </c>
      <c r="AJ52" s="21">
        <f t="shared" si="47"/>
        <v>378471</v>
      </c>
      <c r="AK52" s="25">
        <f t="shared" si="47"/>
        <v>462868</v>
      </c>
      <c r="AL52" s="25">
        <f t="shared" si="47"/>
        <v>442963</v>
      </c>
      <c r="AM52" s="22">
        <f t="shared" si="47"/>
        <v>406048</v>
      </c>
      <c r="AN52" s="21">
        <f t="shared" si="47"/>
        <v>375642</v>
      </c>
      <c r="AO52" s="25">
        <f t="shared" si="47"/>
        <v>335445</v>
      </c>
      <c r="AP52" s="25">
        <f t="shared" si="47"/>
        <v>316961</v>
      </c>
      <c r="AQ52" s="22">
        <f t="shared" si="47"/>
        <v>315566</v>
      </c>
    </row>
    <row r="53" spans="2:43" s="26" customFormat="1" ht="15.75" customHeight="1">
      <c r="B53" s="70" t="s">
        <v>138</v>
      </c>
      <c r="C53" s="113">
        <f>SUM(C50:C52)</f>
        <v>49593022.391645998</v>
      </c>
      <c r="D53" s="73">
        <f>SUM(D50:D52)</f>
        <v>45802401.614900395</v>
      </c>
      <c r="E53" s="73">
        <v>44346235</v>
      </c>
      <c r="F53" s="73">
        <f>SUM(F50:F52)</f>
        <v>35596073.964899942</v>
      </c>
      <c r="G53" s="73">
        <f>SUM(G50:G52)</f>
        <v>30267216.420379616</v>
      </c>
      <c r="H53" s="72">
        <f t="shared" ref="H53:AQ53" si="48">SUM(H50:H52)</f>
        <v>27460258.042820022</v>
      </c>
      <c r="I53" s="73">
        <f t="shared" si="48"/>
        <v>22282723.123320092</v>
      </c>
      <c r="J53" s="73">
        <f t="shared" si="48"/>
        <v>21557749.754129946</v>
      </c>
      <c r="K53" s="74">
        <f t="shared" si="48"/>
        <v>20276942.885759864</v>
      </c>
      <c r="L53" s="72">
        <f t="shared" si="48"/>
        <v>17325942.327180117</v>
      </c>
      <c r="M53" s="73">
        <f t="shared" si="48"/>
        <v>16968328.18826016</v>
      </c>
      <c r="N53" s="73">
        <f t="shared" si="48"/>
        <v>16505406.791310063</v>
      </c>
      <c r="O53" s="74">
        <f t="shared" si="48"/>
        <v>14758621.981810153</v>
      </c>
      <c r="P53" s="72">
        <f t="shared" si="48"/>
        <v>12737731.650689937</v>
      </c>
      <c r="Q53" s="73">
        <f t="shared" si="48"/>
        <v>12382314.816649916</v>
      </c>
      <c r="R53" s="73">
        <f t="shared" si="48"/>
        <v>12633059</v>
      </c>
      <c r="S53" s="74">
        <f t="shared" si="48"/>
        <v>12040554.446030077</v>
      </c>
      <c r="T53" s="72">
        <f t="shared" si="48"/>
        <v>12097086.253890019</v>
      </c>
      <c r="U53" s="73">
        <f t="shared" si="48"/>
        <v>12079423.109000074</v>
      </c>
      <c r="V53" s="73">
        <f t="shared" si="48"/>
        <v>12231146.980709964</v>
      </c>
      <c r="W53" s="74">
        <f t="shared" si="48"/>
        <v>12696217.369520824</v>
      </c>
      <c r="X53" s="72">
        <f t="shared" si="48"/>
        <v>8649172.2895833757</v>
      </c>
      <c r="Y53" s="73">
        <f t="shared" si="48"/>
        <v>6016091.3833500268</v>
      </c>
      <c r="Z53" s="73">
        <f t="shared" si="48"/>
        <v>5125887</v>
      </c>
      <c r="AA53" s="74">
        <f t="shared" si="48"/>
        <v>3029193</v>
      </c>
      <c r="AB53" s="72">
        <f t="shared" si="48"/>
        <v>5015381</v>
      </c>
      <c r="AC53" s="73">
        <f t="shared" si="48"/>
        <v>4756005</v>
      </c>
      <c r="AD53" s="73">
        <f t="shared" si="48"/>
        <v>4329449</v>
      </c>
      <c r="AE53" s="74">
        <f t="shared" si="48"/>
        <v>3802077</v>
      </c>
      <c r="AF53" s="72">
        <f t="shared" si="48"/>
        <v>2970384</v>
      </c>
      <c r="AG53" s="73">
        <f t="shared" si="48"/>
        <v>3175366</v>
      </c>
      <c r="AH53" s="73">
        <f t="shared" si="48"/>
        <v>3827500</v>
      </c>
      <c r="AI53" s="74">
        <f t="shared" si="48"/>
        <v>3677651</v>
      </c>
      <c r="AJ53" s="72">
        <f t="shared" si="48"/>
        <v>4325438</v>
      </c>
      <c r="AK53" s="73">
        <f t="shared" si="48"/>
        <v>4724183</v>
      </c>
      <c r="AL53" s="73">
        <f t="shared" si="48"/>
        <v>4479534</v>
      </c>
      <c r="AM53" s="74">
        <f t="shared" si="48"/>
        <v>4292823</v>
      </c>
      <c r="AN53" s="72">
        <f t="shared" si="48"/>
        <v>3448139</v>
      </c>
      <c r="AO53" s="73">
        <f t="shared" si="48"/>
        <v>3069924</v>
      </c>
      <c r="AP53" s="73">
        <f t="shared" si="48"/>
        <v>2241496</v>
      </c>
      <c r="AQ53" s="74">
        <f t="shared" si="48"/>
        <v>2368612</v>
      </c>
    </row>
    <row r="54" spans="2:43" s="26" customFormat="1"/>
    <row r="55" spans="2:43" s="26" customFormat="1"/>
    <row r="56" spans="2:43" s="26" customFormat="1">
      <c r="AA56" s="88"/>
    </row>
    <row r="57" spans="2:43" s="99" customFormat="1" ht="9"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</row>
    <row r="58" spans="2:43" s="26" customFormat="1"/>
    <row r="59" spans="2:43" s="26" customFormat="1"/>
    <row r="60" spans="2:43" s="26" customFormat="1"/>
    <row r="61" spans="2:43" s="26" customFormat="1"/>
    <row r="62" spans="2:43" s="26" customFormat="1"/>
    <row r="63" spans="2:43" s="26" customFormat="1"/>
    <row r="64" spans="2:43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</sheetData>
  <mergeCells count="3">
    <mergeCell ref="B1:AQ2"/>
    <mergeCell ref="B4:B5"/>
    <mergeCell ref="B48:B4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40" min="4" max="44" man="1"/>
    <brk id="41" min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SPRAW. Z DOCH. CAŁK.-roczne</vt:lpstr>
      <vt:lpstr>SPRAW. Z SYT. FIN.-roczne</vt:lpstr>
      <vt:lpstr>SPRAW. Z DOCH. CAŁK.-kwartalnie</vt:lpstr>
      <vt:lpstr>SPRAW. Z SYT. FIN.-kwartalnie</vt:lpstr>
      <vt:lpstr>'SPRAW. Z DOCH. CAŁK.-kwartalnie'!Obszar_wydruku</vt:lpstr>
      <vt:lpstr>'SPRAW. Z DOCH. CAŁK.-roczne'!Obszar_wydruku</vt:lpstr>
      <vt:lpstr>'SPRAW. Z SYT. FIN.-kwartalnie'!Obszar_wydruku</vt:lpstr>
      <vt:lpstr>'SPRAW. Z SYT. FIN.-roczne'!Obszar_wydruku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Beata Kowalczyk</cp:lastModifiedBy>
  <cp:lastPrinted>2017-03-20T09:45:54Z</cp:lastPrinted>
  <dcterms:created xsi:type="dcterms:W3CDTF">2016-09-30T11:56:16Z</dcterms:created>
  <dcterms:modified xsi:type="dcterms:W3CDTF">2026-05-13T14:09:42Z</dcterms:modified>
</cp:coreProperties>
</file>